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G20" i="18" s="1"/>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D20" i="18" s="1"/>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B48" i="18"/>
  <c r="C8" i="18" s="1"/>
  <c r="F49" i="18"/>
  <c r="D48" i="18"/>
  <c r="C49" i="18"/>
  <c r="J17" i="18" s="1"/>
  <c r="G49" i="18"/>
  <c r="I17" i="18" s="1"/>
  <c r="O9" i="18"/>
  <c r="G78" i="14"/>
  <c r="C77" i="14"/>
  <c r="C9" i="59" s="1"/>
  <c r="F48" i="18"/>
  <c r="H48" i="18"/>
  <c r="C48" i="18"/>
  <c r="J8" i="18" s="1"/>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F87" i="14"/>
  <c r="E20" i="18"/>
  <c r="H20" i="18"/>
  <c r="M87" i="14"/>
  <c r="M76" i="14"/>
  <c r="H10" i="18"/>
  <c r="K33" i="48"/>
  <c r="H14" i="15"/>
  <c r="H16" i="15" s="1"/>
  <c r="G14" i="15"/>
  <c r="G16" i="15" s="1"/>
  <c r="E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Q11" i="14"/>
  <c r="P4" i="48"/>
  <c r="P22" i="48" s="1"/>
  <c r="J15" i="16"/>
  <c r="B7" i="48"/>
  <c r="C24" i="14"/>
  <c r="C26" i="14" s="1"/>
  <c r="E11" i="14"/>
  <c r="D4" i="48"/>
  <c r="D22" i="48"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N63" i="14" l="1"/>
  <c r="O15" i="48"/>
  <c r="J5" i="48"/>
  <c r="J23" i="48" s="1"/>
  <c r="K10" i="14"/>
  <c r="F10" i="14"/>
  <c r="E5" i="48"/>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J22" i="16" l="1"/>
  <c r="K43" i="14" s="1"/>
  <c r="K46" i="14" s="1"/>
  <c r="K61" i="14" s="1"/>
  <c r="J8" i="48"/>
  <c r="K13" i="14"/>
  <c r="K16" i="14" s="1"/>
  <c r="K27" i="14" s="1"/>
  <c r="E23" i="48"/>
  <c r="E33" i="48" s="1"/>
  <c r="E8" i="48"/>
  <c r="E26" i="48" s="1"/>
  <c r="F13" i="14"/>
  <c r="F16" i="14" s="1"/>
  <c r="F27" i="14" s="1"/>
  <c r="F63" i="14" s="1"/>
  <c r="N8" i="48"/>
  <c r="N26" i="48" s="1"/>
  <c r="O13" i="14"/>
  <c r="N22" i="16"/>
  <c r="O43" i="14" s="1"/>
  <c r="G13" i="14"/>
  <c r="R13" i="14" s="1"/>
  <c r="F8" i="48"/>
  <c r="J26" i="48" l="1"/>
  <c r="J33" i="48" s="1"/>
  <c r="J15" i="48"/>
  <c r="K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<sst xmlns="http://schemas.openxmlformats.org/spreadsheetml/2006/main" count="2407" uniqueCount="896">
  <si>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</si>
  <si>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</si>
  <si>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</si>
  <si>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</si>
  <si>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</si>
  <si>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</si>
  <si>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</si>
  <si>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</si>
  <si>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</si>
  <si>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</si>
  <si>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</si>
  <si>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</si>
  <si>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</si>
  <si>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</si>
  <si>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</si>
  <si>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</si>
  <si>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</si>
  <si>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</si>
  <si>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</si>
  <si>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</si>
  <si>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</si>
  <si>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</si>
  <si>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</si>
  <si>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</si>
  <si>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</si>
  <si>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</si>
  <si>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</si>
  <si>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</si>
  <si>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</si>
  <si>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</si>
  <si>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</si>
  <si>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</si>
  <si>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</si>
  <si>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</si>
  <si>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</si>
  <si>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</si>
  <si>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</si>
  <si>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</si>
  <si>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</si>
  <si>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</si>
  <si>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</si>
  <si>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</si>
  <si>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</si>
  <si>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</si>
  <si>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</si>
  <si>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</si>
  <si>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</si>
  <si>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</si>
  <si>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</si>
  <si>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</si>
  <si>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</si>
  <si>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</si>
  <si>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</si>
  <si>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</si>
  <si>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</si>
  <si>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</si>
  <si>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</si>
  <si>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</si>
  <si>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</si>
  <si>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</si>
  <si>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</si>
  <si>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</si>
  <si>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</si>
  <si>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</si>
  <si>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</si>
  <si>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</si>
  <si>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</si>
  <si>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</si>
  <si>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</si>
  <si>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</si>
  <si>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</si>
  <si>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</si>
  <si>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</si>
  <si>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</si>
  <si>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</si>
  <si>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</si>
  <si>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</si>
  <si>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</si>
  <si>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</si>
  <si>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</si>
  <si>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</si>
  <si>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</si>
  <si>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</si>
  <si>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</si>
  <si>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</si>
  <si>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</si>
  <si>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</si>
  <si>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</si>
  <si>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</si>
  <si>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</si>
  <si>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</si>
  <si>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</si>
  <si>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</si>
  <si>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</si>
  <si>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</si>
  <si>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</si>
  <si>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</si>
  <si>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</si>
  <si>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</si>
  <si>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</si>
  <si>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</si>
  <si>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</si>
  <si>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</si>
  <si>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</si>
  <si>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</si>
  <si>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</si>
  <si>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</si>
  <si>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</si>
  <si>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</si>
  <si>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</si>
  <si>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</si>
  <si>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</si>
  <si>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</si>
  <si>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</si>
  <si>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</si>
  <si>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</si>
  <si>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</si>
  <si>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</si>
  <si>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</si>
  <si>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</si>
  <si>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</si>
  <si>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</si>
  <si>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</si>
  <si>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</si>
  <si>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</si>
  <si>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</si>
  <si>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</si>
  <si>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</si>
  <si>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</si>
  <si>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</si>
  <si>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</si>
  <si>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</si>
  <si>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</si>
  <si>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</si>
  <si>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</si>
  <si>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</si>
  <si>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</si>
  <si>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</si>
  <si>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</si>
  <si>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</si>
  <si>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</si>
  <si>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</si>
  <si>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</si>
  <si>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</si>
  <si>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</si>
  <si>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</si>
  <si>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</si>
  <si>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</si>
  <si>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</si>
  <si>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</si>
  <si>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</si>
  <si>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</si>
  <si>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</si>
  <si>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</si>
  <si>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</si>
  <si>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</si>
  <si>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</si>
  <si>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</si>
  <si>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</si>
  <si>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</si>
  <si>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</si>
  <si>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</si>
  <si>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</si>
  <si>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</si>
  <si>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</si>
  <si>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</si>
  <si>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</si>
  <si>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</si>
  <si>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</si>
  <si>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</si>
  <si>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</si>
  <si>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</si>
  <si>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</si>
  <si>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</si>
  <si>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</si>
  <si>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</si>
  <si>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</si>
  <si>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</si>
  <si>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</si>
  <si>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</si>
  <si>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</si>
  <si>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</si>
  <si>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</si>
  <si>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</si>
  <si>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</si>
  <si>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</si>
  <si>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</si>
  <si>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</si>
  <si>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</si>
  <si>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</si>
  <si>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</si>
  <si>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</si>
  <si>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</si>
  <si>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</si>
  <si>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</si>
  <si>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</si>
  <si>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</si>
  <si>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</si>
  <si>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</si>
  <si>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</si>
  <si>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</si>
  <si>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</si>
  <si>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</si>
  <si>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</si>
  <si>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</si>
  <si>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</si>
  <si>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</si>
  <si>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</si>
  <si>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</si>
  <si>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</si>
  <si>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</si>
  <si>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</si>
  <si>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</si>
  <si>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</si>
  <si>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</si>
  <si>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</si>
  <si>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</si>
  <si>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</si>
  <si>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</si>
  <si>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</si>
  <si>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</si>
  <si>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</si>
  <si>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</si>
  <si>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</si>
  <si>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</si>
  <si>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</si>
  <si>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</si>
  <si>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</si>
  <si>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</si>
  <si>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</si>
  <si>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</si>
  <si>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</si>
  <si>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</si>
  <si>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</si>
  <si>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</si>
  <si>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</si>
  <si>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</si>
  <si>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</si>
  <si>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</si>
  <si>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</si>
  <si>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</si>
  <si>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</si>
  <si>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</si>
  <si>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</si>
  <si>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</si>
  <si>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</si>
  <si>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</si>
  <si>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</si>
  <si>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</si>
  <si>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</si>
  <si>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</si>
  <si>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</si>
  <si>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</si>
  <si>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</si>
  <si>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</si>
  <si>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</si>
  <si>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</si>
  <si>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</si>
  <si>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</si>
  <si>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</si>
  <si>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</si>
  <si>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</si>
  <si>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</si>
  <si>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</si>
  <si>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</si>
  <si>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</si>
  <si>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</si>
  <si>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</si>
  <si>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</si>
  <si>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</si>
  <si>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</si>
  <si>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</si>
  <si>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</si>
  <si>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</si>
  <si>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</si>
  <si>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</si>
  <si>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</si>
  <si>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</si>
  <si>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</si>
  <si>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</si>
  <si>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</si>
  <si>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</si>
  <si>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</si>
  <si>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</si>
  <si>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</si>
  <si>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</si>
  <si>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</si>
  <si>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</si>
  <si>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</si>
  <si>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</si>
  <si>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</si>
  <si>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</si>
  <si>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</si>
  <si>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</si>
  <si>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</si>
  <si>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</si>
  <si>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</si>
  <si>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</si>
  <si>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</si>
  <si>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</si>
  <si>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</si>
  <si>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</si>
  <si>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</si>
  <si>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</si>
  <si>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</si>
  <si>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</si>
  <si>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</si>
  <si>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</si>
  <si>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</si>
  <si>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</si>
  <si>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</si>
  <si>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</si>
  <si>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</si>
  <si>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</si>
  <si>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</si>
  <si>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</si>
  <si>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</si>
  <si>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</si>
  <si>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</si>
  <si>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</si>
  <si>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</si>
  <si>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</si>
  <si>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</si>
  <si>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</si>
  <si>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</si>
  <si>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</si>
  <si>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</si>
  <si>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</si>
  <si>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</si>
  <si>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</si>
  <si>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</si>
  <si>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</si>
  <si>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</si>
  <si>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</si>
  <si>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</si>
  <si>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</si>
  <si>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</si>
  <si>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</si>
  <si>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</si>
  <si>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</si>
  <si>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</si>
  <si>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</si>
  <si>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</si>
  <si>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</si>
  <si>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</si>
  <si>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</si>
  <si>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</si>
  <si>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</si>
  <si>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</si>
  <si>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</si>
  <si>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</si>
  <si>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</si>
  <si>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</si>
  <si>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</si>
  <si>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</si>
  <si>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</si>
  <si>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</si>
  <si>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</si>
  <si>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</si>
  <si>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</si>
  <si>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</si>
  <si>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</si>
  <si>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</si>
  <si>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</si>
  <si>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</si>
  <si>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</si>
  <si>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</si>
  <si>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</si>
  <si>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</si>
  <si>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</si>
  <si>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</si>
  <si>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</si>
  <si>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</si>
  <si>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</si>
  <si>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</si>
  <si>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</si>
  <si>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</si>
  <si>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</si>
  <si>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</si>
  <si>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</si>
  <si>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</si>
  <si>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</si>
  <si>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</si>
  <si>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</si>
  <si>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</si>
  <si>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</si>
  <si>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</si>
  <si>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</si>
  <si>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</si>
  <si>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</si>
  <si>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</si>
  <si>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</si>
  <si>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</si>
  <si>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</si>
  <si>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</si>
  <si>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</si>
  <si>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</si>
  <si>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</si>
  <si>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</si>
  <si>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</si>
  <si>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</si>
  <si>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</si>
  <si>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</si>
  <si>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</si>
  <si>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</si>
  <si>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</si>
  <si>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</si>
  <si>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</si>
  <si>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</si>
  <si>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</si>
  <si>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</si>
  <si>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</si>
  <si>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</si>
  <si>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</si>
  <si>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</si>
  <si>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</si>
  <si>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</si>
  <si>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</si>
  <si>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</si>
  <si>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</si>
  <si>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</si>
  <si>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</si>
  <si>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</si>
  <si>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</si>
  <si>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</si>
  <si>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</si>
  <si>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</si>
  <si>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</si>
  <si>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</si>
  <si>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</si>
  <si>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</si>
  <si>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</si>
  <si>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</si>
  <si>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</si>
  <si>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</si>
  <si>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</si>
  <si>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</si>
  <si>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</si>
  <si>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</si>
  <si>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</si>
  <si>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</si>
  <si>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</si>
  <si>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</si>
  <si>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</si>
  <si>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</si>
  <si>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</si>
  <si>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</si>
  <si>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</si>
  <si>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</si>
  <si>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</si>
  <si>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</si>
  <si>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</si>
  <si>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</si>
  <si>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</si>
  <si>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</si>
  <si>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</si>
  <si>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</si>
  <si>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</si>
  <si>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</si>
  <si>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</si>
  <si>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</si>
  <si>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</si>
  <si>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</si>
  <si>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</si>
  <si>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</si>
  <si>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</si>
  <si>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</si>
  <si>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</si>
  <si>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</si>
  <si>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</si>
  <si>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</si>
  <si>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</si>
  <si>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</si>
  <si>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</si>
  <si>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</si>
  <si>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</si>
  <si>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</si>
  <si>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</si>
  <si>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</si>
  <si>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</si>
  <si>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</si>
  <si>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</si>
  <si>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</si>
  <si>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</si>
  <si>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</si>
  <si>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</si>
  <si>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</si>
  <si>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</si>
  <si>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</si>
  <si>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</si>
  <si>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</si>
  <si>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</si>
  <si>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</si>
  <si>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</si>
  <si>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</si>
  <si>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</si>
  <si>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</si>
  <si>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</si>
  <si>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</si>
  <si>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</si>
  <si>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</si>
  <si>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</si>
  <si>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</si>
  <si>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</si>
  <si>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</si>
  <si>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</si>
  <si>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</si>
  <si>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</si>
  <si>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</si>
  <si>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</si>
  <si>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</si>
  <si>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</si>
  <si>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</si>
  <si>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</si>
  <si>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</si>
  <si>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</si>
  <si>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</si>
  <si>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</si>
  <si>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</si>
  <si>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</si>
  <si>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</si>
  <si>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</si>
  <si>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</si>
  <si>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</si>
  <si>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</si>
  <si>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</si>
  <si>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</si>
  <si>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</si>
  <si>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</si>
  <si>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</si>
  <si>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</si>
  <si>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</si>
  <si>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</si>
  <si>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</si>
  <si>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</si>
  <si>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</si>
  <si>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</si>
  <si>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</si>
  <si>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</si>
  <si>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</si>
  <si>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</si>
  <si>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</si>
  <si>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</si>
  <si>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</si>
  <si>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</si>
  <si>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</si>
  <si>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</si>
  <si>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</si>
  <si>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</si>
  <si>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</si>
  <si>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</si>
  <si>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</si>
  <si>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</si>
  <si>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</si>
  <si>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</si>
  <si>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</si>
  <si>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</si>
  <si>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</si>
  <si>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</si>
  <si>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</si>
  <si>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</si>
  <si>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</si>
  <si>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</si>
  <si>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</si>
  <si>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</si>
  <si>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</si>
  <si>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</si>
  <si>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</si>
  <si>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</si>
  <si>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</si>
  <si>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</si>
  <si>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</si>
  <si>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</si>
  <si>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</si>
  <si>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</si>
  <si>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</si>
  <si>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</si>
  <si>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</si>
  <si>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</si>
  <si>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</si>
  <si>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</si>
  <si>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</si>
  <si>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</si>
  <si>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</si>
  <si>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</si>
  <si>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</si>
  <si>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</si>
  <si>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</si>
  <si>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</si>
  <si>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</si>
  <si>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</si>
  <si>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</si>
  <si>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</si>
  <si>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</si>
  <si>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</si>
  <si>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</si>
  <si>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</si>
  <si>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</si>
  <si>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</si>
  <si>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</si>
  <si>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</si>
  <si>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</si>
  <si>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</si>
  <si>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</si>
  <si>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</si>
  <si>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</si>
  <si>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</si>
  <si>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</si>
  <si>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</si>
  <si>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</si>
  <si>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</si>
  <si>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</si>
  <si>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</si>
  <si>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</si>
  <si>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</si>
  <si>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</si>
  <si>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</si>
  <si>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</si>
  <si>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</si>
  <si>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</si>
  <si>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</si>
  <si>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</si>
  <si>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</si>
  <si>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</si>
  <si>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</si>
  <si>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</si>
  <si>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</si>
  <si>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</si>
  <si>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</si>
  <si>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</si>
  <si>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</si>
  <si>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</si>
  <si>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</si>
  <si>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</si>
  <si>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</si>
  <si>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</si>
  <si>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</si>
  <si>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</si>
  <si>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</si>
  <si>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</si>
  <si>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</si>
  <si>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</si>
  <si>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</si>
  <si>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</si>
  <si>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</si>
  <si>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</si>
  <si>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</si>
  <si>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</si>
  <si>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</si>
  <si>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</si>
  <si>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</si>
  <si>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</si>
  <si>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</si>
  <si>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</si>
  <si>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</si>
  <si>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</si>
  <si>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</si>
  <si>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</si>
  <si>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</si>
  <si>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</si>
  <si>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</si>
  <si>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</si>
  <si>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</si>
  <si>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</si>
  <si>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</si>
  <si>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</si>
  <si>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</si>
  <si>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</si>
  <si>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</si>
  <si>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</si>
  <si>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</si>
  <si>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</si>
  <si>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</si>
  <si>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</si>
  <si>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</si>
  <si>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</si>
  <si>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</si>
  <si>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</si>
  <si>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</si>
  <si>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</si>
  <si>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</si>
  <si>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</si>
  <si>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</si>
  <si>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</si>
  <si>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</si>
  <si>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</si>
  <si>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</si>
  <si>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</si>
  <si>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</si>
  <si>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</si>
  <si>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</si>
  <si>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</si>
  <si>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</si>
  <si>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</si>
  <si>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</si>
  <si>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</si>
  <si>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</si>
  <si>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</si>
  <si>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</si>
  <si>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</si>
  <si>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</si>
  <si>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</si>
  <si>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</si>
  <si>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</si>
  <si>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</si>
  <si>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</si>
  <si>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</si>
  <si>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</si>
  <si>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</si>
  <si>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</si>
  <si>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</si>
  <si>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</si>
  <si>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</si>
  <si>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</si>
  <si>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</si>
  <si>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</si>
  <si>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</si>
  <si>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</si>
  <si>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</si>
  <si>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</si>
  <si>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</si>
  <si>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</si>
  <si>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</si>
  <si>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</si>
  <si>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</si>
  <si>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</si>
  <si>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</si>
  <si>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</si>
  <si>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</si>
  <si>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</si>
  <si>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</si>
  <si>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</si>
  <si>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</si>
  <si>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</si>
  <si>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</si>
  <si>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</si>
  <si>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</si>
  <si>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</si>
  <si>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</si>
  <si>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</si>
  <si>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</si>
  <si>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</si>
  <si>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</si>
  <si>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</si>
  <si>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</si>
  <si>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</si>
  <si>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</si>
  <si>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</si>
  <si>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</si>
  <si>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</si>
  <si>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</si>
  <si>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</si>
  <si>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</si>
  <si>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</si>
  <si>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</si>
  <si>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</si>
  <si>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</si>
  <si>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</si>
  <si>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</si>
  <si>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</si>
  <si>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</si>
  <si>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</si>
  <si>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</si>
  <si>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</si>
  <si>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</si>
  <si>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</si>
  <si>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</si>
  <si>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</si>
  <si>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</si>
  <si>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</si>
  <si>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</si>
  <si>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</si>
  <si>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</si>
  <si>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</si>
  <si>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</si>
  <si>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</si>
  <si>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</si>
  <si>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</si>
  <si>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</si>
  <si>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</si>
  <si>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</si>
  <si>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</si>
  <si>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</si>
  <si>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</si>
  <si>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</si>
  <si>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</si>
  <si>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</si>
  <si>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</si>
  <si>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</si>
  <si>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</si>
  <si>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</si>
  <si>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</si>
  <si>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</si>
  <si>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</si>
  <si>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</si>
  <si>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</si>
  <si>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</si>
  <si>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</si>
  <si>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</si>
  <si>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</si>
  <si>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</si>
  <si>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</si>
  <si>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</si>
  <si>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</si>
  <si>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</si>
  <si>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</si>
  <si>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</si>
  <si>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</si>
  <si>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</si>
  <si>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</si>
  <si>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</si>
  <si>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</si>
  <si>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</si>
  <si>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</si>
  <si>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</si>
  <si>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</si>
  <si>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</si>
  <si>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</si>
  <si>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</si>
  <si>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</si>
  <si>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</si>
  <si>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</si>
  <si>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</si>
  <si>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</si>
  <si>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</si>
  <si>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</si>
  <si>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</si>
  <si>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</si>
  <si>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</si>
  <si>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</si>
  <si>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</si>
  <si>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</si>
  <si>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</si>
  <si>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</si>
  <si>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</si>
  <si>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</si>
  <si>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</si>
  <si>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</si>
  <si>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</si>
  <si>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</si>
  <si>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</si>
  <si>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</si>
  <si>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</si>
  <si>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</si>
  <si>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</si>
  <si>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</si>
  <si>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</si>
  <si>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</si>
  <si>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</si>
  <si>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</si>
  <si>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</si>
  <si>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</si>
  <si>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</si>
  <si>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</si>
  <si>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</si>
  <si>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</si>
  <si>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</si>
  <si>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</si>
  <si>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</si>
  <si>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</si>
  <si>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</si>
  <si>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</si>
  <si>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</si>
  <si>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</si>
  <si>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</si>
  <si>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</si>
  <si>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</si>
  <si>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</si>
  <si>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</si>
  <si>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</si>
  <si>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</si>
  <si>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</si>
  <si>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</si>
  <si>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</si>
  <si>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</si>
  <si>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</si>
  <si>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</si>
  <si>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</si>
  <si>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</si>
  <si>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</si>
  <si>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</si>
  <si>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</si>
  <si>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</si>
  <si>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</si>
  <si>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</si>
  <si>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</si>
  <si>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</si>
  <si>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</si>
  <si>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</si>
  <si>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</si>
  <si>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23097</t>
  </si>
  <si>
    <t>ROOSDAAL</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</si>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</sst>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100021.93397380243</c:v>
                </c:pt>
                <c:pt idx="1">
                  <c:v>17276.648298586948</c:v>
                </c:pt>
                <c:pt idx="2">
                  <c:v>615.48199999999997</c:v>
                </c:pt>
                <c:pt idx="3">
                  <c:v>2334.6811311875272</c:v>
                </c:pt>
                <c:pt idx="4">
                  <c:v>7367.9275018133067</c:v>
                </c:pt>
                <c:pt idx="5">
                  <c:v>50652.165223578646</c:v>
                </c:pt>
                <c:pt idx="6">
                  <c:v>1941.0545476701259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100021.93397380243</c:v>
                </c:pt>
                <c:pt idx="1">
                  <c:v>17276.648298586948</c:v>
                </c:pt>
                <c:pt idx="2">
                  <c:v>615.48199999999997</c:v>
                </c:pt>
                <c:pt idx="3">
                  <c:v>2334.6811311875272</c:v>
                </c:pt>
                <c:pt idx="4">
                  <c:v>7367.9275018133067</c:v>
                </c:pt>
                <c:pt idx="5">
                  <c:v>50652.165223578646</c:v>
                </c:pt>
                <c:pt idx="6">
                  <c:v>1941.0545476701259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20415.456649583146</c:v>
                </c:pt>
                <c:pt idx="2">
                  <c:v>3504.1605014193938</c:v>
                </c:pt>
                <c:pt idx="3">
                  <c:v>127.03933340172659</c:v>
                </c:pt>
                <c:pt idx="4">
                  <c:v>587.8140452413478</c:v>
                </c:pt>
                <c:pt idx="5">
                  <c:v>1541.1700981173508</c:v>
                </c:pt>
                <c:pt idx="6">
                  <c:v>12965.600777481543</c:v>
                </c:pt>
                <c:pt idx="7">
                  <c:v>502.68896046582302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20415.456649583146</c:v>
                </c:pt>
                <c:pt idx="2">
                  <c:v>3504.1605014193938</c:v>
                </c:pt>
                <c:pt idx="3">
                  <c:v>127.03933340172659</c:v>
                </c:pt>
                <c:pt idx="4">
                  <c:v>587.8140452413478</c:v>
                </c:pt>
                <c:pt idx="5">
                  <c:v>1541.1700981173508</c:v>
                </c:pt>
                <c:pt idx="6">
                  <c:v>12965.600777481543</c:v>
                </c:pt>
                <c:pt idx="7">
                  <c:v>502.68896046582302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23097</v>
      </c>
      <c r="B6" s="390"/>
      <c r="C6" s="391"/>
    </row>
    <row r="7" spans="1:7" s="388" customFormat="1" ht="15.75" customHeight="1">
      <c r="A7" s="392" t="str">
        <f>txtMunicipality</f>
        <v>ROOSDAAL</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0.20640625298827034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0.20640625298827034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4439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948.05</v>
      </c>
      <c r="C14" s="330"/>
      <c r="D14" s="330"/>
      <c r="E14" s="330"/>
      <c r="F14" s="330"/>
    </row>
    <row r="15" spans="1:6">
      <c r="A15" s="1291" t="s">
        <v>183</v>
      </c>
      <c r="B15" s="1292">
        <v>1</v>
      </c>
      <c r="C15" s="330"/>
      <c r="D15" s="330"/>
      <c r="E15" s="330"/>
      <c r="F15" s="330"/>
    </row>
    <row r="16" spans="1:6">
      <c r="A16" s="1291" t="s">
        <v>6</v>
      </c>
      <c r="B16" s="1292">
        <v>53</v>
      </c>
      <c r="C16" s="330"/>
      <c r="D16" s="330"/>
      <c r="E16" s="330"/>
      <c r="F16" s="330"/>
    </row>
    <row r="17" spans="1:6">
      <c r="A17" s="1291" t="s">
        <v>7</v>
      </c>
      <c r="B17" s="1292">
        <v>227</v>
      </c>
      <c r="C17" s="330"/>
      <c r="D17" s="330"/>
      <c r="E17" s="330"/>
      <c r="F17" s="330"/>
    </row>
    <row r="18" spans="1:6">
      <c r="A18" s="1291" t="s">
        <v>8</v>
      </c>
      <c r="B18" s="1292">
        <v>247</v>
      </c>
      <c r="C18" s="330"/>
      <c r="D18" s="330"/>
      <c r="E18" s="330"/>
      <c r="F18" s="330"/>
    </row>
    <row r="19" spans="1:6">
      <c r="A19" s="1291" t="s">
        <v>9</v>
      </c>
      <c r="B19" s="1292">
        <v>210</v>
      </c>
      <c r="C19" s="330"/>
      <c r="D19" s="330"/>
      <c r="E19" s="330"/>
      <c r="F19" s="330"/>
    </row>
    <row r="20" spans="1:6">
      <c r="A20" s="1291" t="s">
        <v>10</v>
      </c>
      <c r="B20" s="1292">
        <v>194</v>
      </c>
      <c r="C20" s="330"/>
      <c r="D20" s="330"/>
      <c r="E20" s="330"/>
      <c r="F20" s="330"/>
    </row>
    <row r="21" spans="1:6">
      <c r="A21" s="1291" t="s">
        <v>11</v>
      </c>
      <c r="B21" s="1292">
        <v>453</v>
      </c>
      <c r="C21" s="330"/>
      <c r="D21" s="330"/>
      <c r="E21" s="330"/>
      <c r="F21" s="330"/>
    </row>
    <row r="22" spans="1:6">
      <c r="A22" s="1291" t="s">
        <v>12</v>
      </c>
      <c r="B22" s="1292">
        <v>1950</v>
      </c>
      <c r="C22" s="330"/>
      <c r="D22" s="330"/>
      <c r="E22" s="330"/>
      <c r="F22" s="330"/>
    </row>
    <row r="23" spans="1:6">
      <c r="A23" s="1291" t="s">
        <v>13</v>
      </c>
      <c r="B23" s="1292">
        <v>33</v>
      </c>
      <c r="C23" s="330"/>
      <c r="D23" s="330"/>
      <c r="E23" s="330"/>
      <c r="F23" s="330"/>
    </row>
    <row r="24" spans="1:6">
      <c r="A24" s="1291" t="s">
        <v>14</v>
      </c>
      <c r="B24" s="1292">
        <v>2</v>
      </c>
      <c r="C24" s="330"/>
      <c r="D24" s="330"/>
      <c r="E24" s="330"/>
      <c r="F24" s="330"/>
    </row>
    <row r="25" spans="1:6">
      <c r="A25" s="1291" t="s">
        <v>15</v>
      </c>
      <c r="B25" s="1292">
        <v>169</v>
      </c>
      <c r="C25" s="330"/>
      <c r="D25" s="330"/>
      <c r="E25" s="330"/>
      <c r="F25" s="330"/>
    </row>
    <row r="26" spans="1:6">
      <c r="A26" s="1291" t="s">
        <v>16</v>
      </c>
      <c r="B26" s="1292">
        <v>102</v>
      </c>
      <c r="C26" s="330"/>
      <c r="D26" s="330"/>
      <c r="E26" s="330"/>
      <c r="F26" s="330"/>
    </row>
    <row r="27" spans="1:6">
      <c r="A27" s="1291" t="s">
        <v>17</v>
      </c>
      <c r="B27" s="1292">
        <v>11</v>
      </c>
      <c r="C27" s="330"/>
      <c r="D27" s="330"/>
      <c r="E27" s="330"/>
      <c r="F27" s="330"/>
    </row>
    <row r="28" spans="1:6" s="43" customFormat="1">
      <c r="A28" s="1293" t="s">
        <v>18</v>
      </c>
      <c r="B28" s="1294">
        <v>0</v>
      </c>
      <c r="C28" s="336"/>
      <c r="D28" s="336"/>
      <c r="E28" s="336"/>
      <c r="F28" s="336"/>
    </row>
    <row r="29" spans="1:6">
      <c r="A29" s="1293" t="s">
        <v>892</v>
      </c>
      <c r="B29" s="1294">
        <v>62</v>
      </c>
      <c r="C29" s="336"/>
      <c r="D29" s="336"/>
      <c r="E29" s="336"/>
      <c r="F29" s="336"/>
    </row>
    <row r="30" spans="1:6">
      <c r="A30" s="1286" t="s">
        <v>893</v>
      </c>
      <c r="B30" s="1295">
        <v>5</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2196</v>
      </c>
      <c r="D39" s="1292">
        <v>38529693.767999999</v>
      </c>
      <c r="E39" s="1292">
        <v>4265</v>
      </c>
      <c r="F39" s="1292">
        <v>18717594.581999999</v>
      </c>
    </row>
    <row r="40" spans="1:6">
      <c r="A40" s="1291" t="s">
        <v>29</v>
      </c>
      <c r="B40" s="1291" t="s">
        <v>28</v>
      </c>
      <c r="C40" s="1292">
        <v>0</v>
      </c>
      <c r="D40" s="1292">
        <v>0</v>
      </c>
      <c r="E40" s="1292">
        <v>0</v>
      </c>
      <c r="F40" s="1292">
        <v>0</v>
      </c>
    </row>
    <row r="41" spans="1:6">
      <c r="A41" s="1291" t="s">
        <v>31</v>
      </c>
      <c r="B41" s="1291" t="s">
        <v>32</v>
      </c>
      <c r="C41" s="1292">
        <v>20</v>
      </c>
      <c r="D41" s="1292">
        <v>274353.77740000002</v>
      </c>
      <c r="E41" s="1292">
        <v>61</v>
      </c>
      <c r="F41" s="1292">
        <v>365511.17394000001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4</v>
      </c>
      <c r="D44" s="1292">
        <v>140807.99958</v>
      </c>
      <c r="E44" s="1292">
        <v>4</v>
      </c>
      <c r="F44" s="1292">
        <v>49641.616532</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20</v>
      </c>
      <c r="D48" s="1292">
        <v>490436.22005</v>
      </c>
      <c r="E48" s="1292">
        <v>40</v>
      </c>
      <c r="F48" s="1292">
        <v>4090767.4578</v>
      </c>
    </row>
    <row r="49" spans="1:6">
      <c r="A49" s="1291" t="s">
        <v>31</v>
      </c>
      <c r="B49" s="1291" t="s">
        <v>39</v>
      </c>
      <c r="C49" s="1292">
        <v>0</v>
      </c>
      <c r="D49" s="1292">
        <v>0</v>
      </c>
      <c r="E49" s="1292">
        <v>0</v>
      </c>
      <c r="F49" s="1292">
        <v>0</v>
      </c>
    </row>
    <row r="50" spans="1:6">
      <c r="A50" s="1291" t="s">
        <v>31</v>
      </c>
      <c r="B50" s="1291" t="s">
        <v>40</v>
      </c>
      <c r="C50" s="1292">
        <v>0</v>
      </c>
      <c r="D50" s="1292">
        <v>0</v>
      </c>
      <c r="E50" s="1292">
        <v>5</v>
      </c>
      <c r="F50" s="1292">
        <v>126697.19593</v>
      </c>
    </row>
    <row r="51" spans="1:6">
      <c r="A51" s="1291" t="s">
        <v>41</v>
      </c>
      <c r="B51" s="1291" t="s">
        <v>42</v>
      </c>
      <c r="C51" s="1292">
        <v>4</v>
      </c>
      <c r="D51" s="1292">
        <v>81920.382687999998</v>
      </c>
      <c r="E51" s="1292">
        <v>36</v>
      </c>
      <c r="F51" s="1292">
        <v>329190.80575</v>
      </c>
    </row>
    <row r="52" spans="1:6">
      <c r="A52" s="1291" t="s">
        <v>41</v>
      </c>
      <c r="B52" s="1291" t="s">
        <v>28</v>
      </c>
      <c r="C52" s="1292">
        <v>7</v>
      </c>
      <c r="D52" s="1292">
        <v>156441.81292999999</v>
      </c>
      <c r="E52" s="1292">
        <v>10</v>
      </c>
      <c r="F52" s="1292">
        <v>110126.26601000001</v>
      </c>
    </row>
    <row r="53" spans="1:6">
      <c r="A53" s="1291" t="s">
        <v>43</v>
      </c>
      <c r="B53" s="1291" t="s">
        <v>44</v>
      </c>
      <c r="C53" s="1292">
        <v>69</v>
      </c>
      <c r="D53" s="1292">
        <v>1248913.7837</v>
      </c>
      <c r="E53" s="1292">
        <v>135</v>
      </c>
      <c r="F53" s="1292">
        <v>584608.30426999996</v>
      </c>
    </row>
    <row r="54" spans="1:6">
      <c r="A54" s="1291" t="s">
        <v>45</v>
      </c>
      <c r="B54" s="1291" t="s">
        <v>46</v>
      </c>
      <c r="C54" s="1292">
        <v>0</v>
      </c>
      <c r="D54" s="1292">
        <v>0</v>
      </c>
      <c r="E54" s="1292">
        <v>1</v>
      </c>
      <c r="F54" s="1292">
        <v>615482</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23</v>
      </c>
      <c r="D57" s="1292">
        <v>1050350.8600999999</v>
      </c>
      <c r="E57" s="1292">
        <v>65</v>
      </c>
      <c r="F57" s="1292">
        <v>429500.59289000003</v>
      </c>
    </row>
    <row r="58" spans="1:6">
      <c r="A58" s="1291" t="s">
        <v>48</v>
      </c>
      <c r="B58" s="1291" t="s">
        <v>50</v>
      </c>
      <c r="C58" s="1292">
        <v>10</v>
      </c>
      <c r="D58" s="1292">
        <v>1981914.811</v>
      </c>
      <c r="E58" s="1292">
        <v>31</v>
      </c>
      <c r="F58" s="1292">
        <v>472453.40191999997</v>
      </c>
    </row>
    <row r="59" spans="1:6">
      <c r="A59" s="1291" t="s">
        <v>48</v>
      </c>
      <c r="B59" s="1291" t="s">
        <v>51</v>
      </c>
      <c r="C59" s="1292">
        <v>21</v>
      </c>
      <c r="D59" s="1292">
        <v>613129.33337999997</v>
      </c>
      <c r="E59" s="1292">
        <v>86</v>
      </c>
      <c r="F59" s="1292">
        <v>1060139.0127999999</v>
      </c>
    </row>
    <row r="60" spans="1:6">
      <c r="A60" s="1291" t="s">
        <v>48</v>
      </c>
      <c r="B60" s="1291" t="s">
        <v>52</v>
      </c>
      <c r="C60" s="1292">
        <v>19</v>
      </c>
      <c r="D60" s="1292">
        <v>603211.48647</v>
      </c>
      <c r="E60" s="1292">
        <v>38</v>
      </c>
      <c r="F60" s="1292">
        <v>652401.37259000004</v>
      </c>
    </row>
    <row r="61" spans="1:6">
      <c r="A61" s="1291" t="s">
        <v>48</v>
      </c>
      <c r="B61" s="1291" t="s">
        <v>53</v>
      </c>
      <c r="C61" s="1292">
        <v>45</v>
      </c>
      <c r="D61" s="1292">
        <v>2157346.3657</v>
      </c>
      <c r="E61" s="1292">
        <v>108</v>
      </c>
      <c r="F61" s="1292">
        <v>845821.87566999998</v>
      </c>
    </row>
    <row r="62" spans="1:6">
      <c r="A62" s="1291" t="s">
        <v>48</v>
      </c>
      <c r="B62" s="1291" t="s">
        <v>54</v>
      </c>
      <c r="C62" s="1292">
        <v>4</v>
      </c>
      <c r="D62" s="1292">
        <v>497230.46445000003</v>
      </c>
      <c r="E62" s="1292">
        <v>5</v>
      </c>
      <c r="F62" s="1292">
        <v>100637.11899</v>
      </c>
    </row>
    <row r="63" spans="1:6">
      <c r="A63" s="1291" t="s">
        <v>48</v>
      </c>
      <c r="B63" s="1291" t="s">
        <v>28</v>
      </c>
      <c r="C63" s="1292">
        <v>99</v>
      </c>
      <c r="D63" s="1292">
        <v>2875991.4939000001</v>
      </c>
      <c r="E63" s="1292">
        <v>131</v>
      </c>
      <c r="F63" s="1292">
        <v>2579379.0199000002</v>
      </c>
    </row>
    <row r="64" spans="1:6">
      <c r="A64" s="1291" t="s">
        <v>55</v>
      </c>
      <c r="B64" s="1291" t="s">
        <v>56</v>
      </c>
      <c r="C64" s="1292">
        <v>0</v>
      </c>
      <c r="D64" s="1292">
        <v>0</v>
      </c>
      <c r="E64" s="1292">
        <v>0</v>
      </c>
      <c r="F64" s="1292">
        <v>0</v>
      </c>
    </row>
    <row r="65" spans="1:6">
      <c r="A65" s="1291" t="s">
        <v>55</v>
      </c>
      <c r="B65" s="1291" t="s">
        <v>28</v>
      </c>
      <c r="C65" s="1292">
        <v>0</v>
      </c>
      <c r="D65" s="1292">
        <v>0</v>
      </c>
      <c r="E65" s="1292">
        <v>4</v>
      </c>
      <c r="F65" s="1292">
        <v>19236.277236000002</v>
      </c>
    </row>
    <row r="66" spans="1:6">
      <c r="A66" s="1291" t="s">
        <v>55</v>
      </c>
      <c r="B66" s="1291" t="s">
        <v>57</v>
      </c>
      <c r="C66" s="1292">
        <v>0</v>
      </c>
      <c r="D66" s="1292">
        <v>0</v>
      </c>
      <c r="E66" s="1292">
        <v>6</v>
      </c>
      <c r="F66" s="1292">
        <v>65199</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28934197</v>
      </c>
      <c r="E73" s="449"/>
      <c r="F73" s="330"/>
    </row>
    <row r="74" spans="1:6">
      <c r="A74" s="1291" t="s">
        <v>63</v>
      </c>
      <c r="B74" s="1291" t="s">
        <v>664</v>
      </c>
      <c r="C74" s="1305" t="s">
        <v>666</v>
      </c>
      <c r="D74" s="1306">
        <v>3381621.2729525599</v>
      </c>
      <c r="E74" s="449"/>
      <c r="F74" s="330"/>
    </row>
    <row r="75" spans="1:6">
      <c r="A75" s="1291" t="s">
        <v>64</v>
      </c>
      <c r="B75" s="1291" t="s">
        <v>663</v>
      </c>
      <c r="C75" s="1305" t="s">
        <v>667</v>
      </c>
      <c r="D75" s="1306">
        <v>20495100</v>
      </c>
      <c r="E75" s="449"/>
      <c r="F75" s="330"/>
    </row>
    <row r="76" spans="1:6">
      <c r="A76" s="1291" t="s">
        <v>64</v>
      </c>
      <c r="B76" s="1291" t="s">
        <v>664</v>
      </c>
      <c r="C76" s="1305" t="s">
        <v>668</v>
      </c>
      <c r="D76" s="1306">
        <v>1293703.2729525599</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526673.45409488026</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2201.7310791198452</v>
      </c>
      <c r="C91" s="330"/>
      <c r="D91" s="330"/>
      <c r="E91" s="330"/>
      <c r="F91" s="330"/>
    </row>
    <row r="92" spans="1:6">
      <c r="A92" s="1286" t="s">
        <v>68</v>
      </c>
      <c r="B92" s="1287">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903</v>
      </c>
      <c r="C97" s="330"/>
      <c r="D97" s="330"/>
      <c r="E97" s="330"/>
      <c r="F97" s="330"/>
    </row>
    <row r="98" spans="1:6">
      <c r="A98" s="1291" t="s">
        <v>71</v>
      </c>
      <c r="B98" s="1292">
        <v>1</v>
      </c>
      <c r="C98" s="330"/>
      <c r="D98" s="330"/>
      <c r="E98" s="330"/>
      <c r="F98" s="330"/>
    </row>
    <row r="99" spans="1:6">
      <c r="A99" s="1291" t="s">
        <v>72</v>
      </c>
      <c r="B99" s="1292">
        <v>81</v>
      </c>
      <c r="C99" s="330"/>
      <c r="D99" s="330"/>
      <c r="E99" s="330"/>
      <c r="F99" s="330"/>
    </row>
    <row r="100" spans="1:6">
      <c r="A100" s="1291" t="s">
        <v>73</v>
      </c>
      <c r="B100" s="1292">
        <v>406</v>
      </c>
      <c r="C100" s="330"/>
      <c r="D100" s="330"/>
      <c r="E100" s="330"/>
      <c r="F100" s="330"/>
    </row>
    <row r="101" spans="1:6">
      <c r="A101" s="1291" t="s">
        <v>74</v>
      </c>
      <c r="B101" s="1292">
        <v>58</v>
      </c>
      <c r="C101" s="330"/>
      <c r="D101" s="330"/>
      <c r="E101" s="330"/>
      <c r="F101" s="330"/>
    </row>
    <row r="102" spans="1:6">
      <c r="A102" s="1291" t="s">
        <v>75</v>
      </c>
      <c r="B102" s="1292">
        <v>42</v>
      </c>
      <c r="C102" s="330"/>
      <c r="D102" s="330"/>
      <c r="E102" s="330"/>
      <c r="F102" s="330"/>
    </row>
    <row r="103" spans="1:6">
      <c r="A103" s="1291" t="s">
        <v>76</v>
      </c>
      <c r="B103" s="1292">
        <v>145</v>
      </c>
      <c r="C103" s="330"/>
      <c r="D103" s="330"/>
      <c r="E103" s="330"/>
      <c r="F103" s="330"/>
    </row>
    <row r="104" spans="1:6">
      <c r="A104" s="1291" t="s">
        <v>77</v>
      </c>
      <c r="B104" s="1292">
        <v>2274</v>
      </c>
      <c r="C104" s="330"/>
      <c r="D104" s="330"/>
      <c r="E104" s="330"/>
      <c r="F104" s="330"/>
    </row>
    <row r="105" spans="1:6">
      <c r="A105" s="1286" t="s">
        <v>78</v>
      </c>
      <c r="B105" s="1295">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26</v>
      </c>
      <c r="C123" s="1292">
        <v>19</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66</v>
      </c>
      <c r="C129" s="330"/>
      <c r="D129" s="330"/>
      <c r="E129" s="330"/>
      <c r="F129" s="330"/>
    </row>
    <row r="130" spans="1:6">
      <c r="A130" s="1291" t="s">
        <v>294</v>
      </c>
      <c r="B130" s="1292">
        <v>1</v>
      </c>
      <c r="C130" s="330"/>
      <c r="D130" s="330"/>
      <c r="E130" s="330"/>
      <c r="F130" s="330"/>
    </row>
    <row r="131" spans="1:6">
      <c r="A131" s="1291" t="s">
        <v>295</v>
      </c>
      <c r="B131" s="1292">
        <v>1</v>
      </c>
      <c r="C131" s="330"/>
      <c r="D131" s="330"/>
      <c r="E131" s="330"/>
      <c r="F131" s="330"/>
    </row>
    <row r="132" spans="1:6">
      <c r="A132" s="1286" t="s">
        <v>296</v>
      </c>
      <c r="B132" s="1287">
        <v>25</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33341.853061752925</v>
      </c>
      <c r="C3" s="43" t="s">
        <v>169</v>
      </c>
      <c r="D3" s="43"/>
      <c r="E3" s="154"/>
      <c r="F3" s="43"/>
      <c r="G3" s="43"/>
      <c r="H3" s="43"/>
      <c r="I3" s="43"/>
      <c r="J3" s="43"/>
      <c r="K3" s="96"/>
    </row>
    <row r="4" spans="1:11">
      <c r="A4" s="358" t="s">
        <v>170</v>
      </c>
      <c r="B4" s="49">
        <f>IF(ISERROR('SEAP template'!B78+'SEAP template'!C78),0,'SEAP template'!B78+'SEAP template'!C78)</f>
        <v>2201.7310791198452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0.20640625298827034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615.48199999999997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615.48199999999997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0.20640625298827034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127.03933340172659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18717.594581999998</v>
      </c>
      <c r="C5" s="17">
        <f>IF(ISERROR('Eigen informatie GS &amp; warmtenet'!B57),0,'Eigen informatie GS &amp; warmtenet'!B57)</f>
        <v>0</v>
      </c>
      <c r="D5" s="30">
        <f>(SUM(HH_hh_gas_kWh,HH_rest_gas_kWh)/1000)*0.902</f>
        <v>34753.783778735997</v>
      </c>
      <c r="E5" s="17">
        <f>B46*B57</f>
        <v>12929.59412181396</v>
      </c>
      <c r="F5" s="17">
        <f>B51*B62</f>
        <v>22634.280388778054</v>
      </c>
      <c r="G5" s="18"/>
      <c r="H5" s="17"/>
      <c r="I5" s="17"/>
      <c r="J5" s="17">
        <f>B50*B61+C50*C61</f>
        <v>279.49709624250011</v>
      </c>
      <c r="K5" s="17"/>
      <c r="L5" s="17"/>
      <c r="M5" s="17"/>
      <c r="N5" s="17">
        <f>B48*B59+C48*C59</f>
        <v>7398.6062604454191</v>
      </c>
      <c r="O5" s="17">
        <f>B69*B70*B71</f>
        <v>134.44666666666666</v>
      </c>
      <c r="P5" s="17">
        <f>B77*B78*B79/1000-B77*B78*B79/1000/B80</f>
        <v>972.4</v>
      </c>
    </row>
    <row r="6" spans="1:16">
      <c r="A6" s="16" t="s">
        <v>623</v>
      </c>
      <c r="B6" s="762">
        <f>kWh_PV_kleiner_dan_10kW</f>
        <v>2201.7310791198452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20919.325661119845</v>
      </c>
      <c r="C8" s="21">
        <f>C5</f>
        <v>0</v>
      </c>
      <c r="D8" s="21">
        <f>D5</f>
        <v>34753.783778735997</v>
      </c>
      <c r="E8" s="21">
        <f>E5</f>
        <v>12929.59412181396</v>
      </c>
      <c r="F8" s="21">
        <f>F5</f>
        <v>22634.280388778054</v>
      </c>
      <c r="G8" s="21"/>
      <c r="H8" s="21"/>
      <c r="I8" s="21"/>
      <c r="J8" s="21">
        <f>J5</f>
        <v>279.49709624250011</v>
      </c>
      <c r="K8" s="21"/>
      <c r="L8" s="21">
        <f>L5</f>
        <v>0</v>
      </c>
      <c r="M8" s="21">
        <f>M5</f>
        <v>0</v>
      </c>
      <c r="N8" s="21">
        <f>N5</f>
        <v>7398.6062604454191</v>
      </c>
      <c r="O8" s="21">
        <f>O5</f>
        <v>134.44666666666666</v>
      </c>
      <c r="P8" s="21">
        <f>P5</f>
        <v>972.4</v>
      </c>
    </row>
    <row r="9" spans="1:16">
      <c r="B9" s="19"/>
      <c r="C9" s="19"/>
      <c r="D9" s="258"/>
      <c r="E9" s="19"/>
      <c r="F9" s="19"/>
      <c r="G9" s="19"/>
      <c r="H9" s="19"/>
      <c r="I9" s="19"/>
      <c r="J9" s="19"/>
      <c r="K9" s="19"/>
      <c r="L9" s="19"/>
      <c r="M9" s="19"/>
      <c r="N9" s="19"/>
      <c r="O9" s="19"/>
      <c r="P9" s="19"/>
    </row>
    <row r="10" spans="1:16">
      <c r="A10" s="24" t="s">
        <v>213</v>
      </c>
      <c r="B10" s="25">
        <f ca="1">'EF ele_warmte'!B12</f>
        <v>0.20640625298827034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4317.8796247531182</v>
      </c>
      <c r="C12" s="23">
        <f ca="1">C10*C8</f>
        <v>0</v>
      </c>
      <c r="D12" s="23">
        <f>D8*D10</f>
        <v>7020.264323304672</v>
      </c>
      <c r="E12" s="23">
        <f>E10*E8</f>
        <v>2935.0178656517687</v>
      </c>
      <c r="F12" s="23">
        <f>F10*F8</f>
        <v>6043.3528638037405</v>
      </c>
      <c r="G12" s="23"/>
      <c r="H12" s="23"/>
      <c r="I12" s="23"/>
      <c r="J12" s="23">
        <f>J10*J8</f>
        <v>98.941972069845036</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903</v>
      </c>
      <c r="C18" s="166" t="s">
        <v>110</v>
      </c>
      <c r="D18" s="228"/>
      <c r="E18" s="15"/>
    </row>
    <row r="19" spans="1:7">
      <c r="A19" s="171" t="s">
        <v>71</v>
      </c>
      <c r="B19" s="37">
        <f>aantalw2001_ander</f>
        <v>1</v>
      </c>
      <c r="C19" s="166" t="s">
        <v>110</v>
      </c>
      <c r="D19" s="229"/>
      <c r="E19" s="15"/>
    </row>
    <row r="20" spans="1:7">
      <c r="A20" s="171" t="s">
        <v>72</v>
      </c>
      <c r="B20" s="37">
        <f>aantalw2001_propaan</f>
        <v>81</v>
      </c>
      <c r="C20" s="167">
        <f>IF(ISERROR(B20/SUM($B$20,$B$21,$B$22)*100),0,B20/SUM($B$20,$B$21,$B$22)*100)</f>
        <v>14.862385321100918</v>
      </c>
      <c r="D20" s="229"/>
      <c r="E20" s="15"/>
    </row>
    <row r="21" spans="1:7">
      <c r="A21" s="171" t="s">
        <v>73</v>
      </c>
      <c r="B21" s="37">
        <f>aantalw2001_elektriciteit</f>
        <v>406</v>
      </c>
      <c r="C21" s="167">
        <f>IF(ISERROR(B21/SUM($B$20,$B$21,$B$22)*100),0,B21/SUM($B$20,$B$21,$B$22)*100)</f>
        <v>74.495412844036707</v>
      </c>
      <c r="D21" s="229"/>
      <c r="E21" s="15"/>
    </row>
    <row r="22" spans="1:7">
      <c r="A22" s="171" t="s">
        <v>74</v>
      </c>
      <c r="B22" s="37">
        <f>aantalw2001_hout</f>
        <v>58</v>
      </c>
      <c r="C22" s="167">
        <f>IF(ISERROR(B22/SUM($B$20,$B$21,$B$22)*100),0,B22/SUM($B$20,$B$21,$B$22)*100)</f>
        <v>10.642201834862385</v>
      </c>
      <c r="D22" s="229"/>
      <c r="E22" s="15"/>
    </row>
    <row r="23" spans="1:7">
      <c r="A23" s="171" t="s">
        <v>75</v>
      </c>
      <c r="B23" s="37">
        <f>aantalw2001_niet_gespec</f>
        <v>42</v>
      </c>
      <c r="C23" s="166" t="s">
        <v>110</v>
      </c>
      <c r="D23" s="228"/>
      <c r="E23" s="15"/>
    </row>
    <row r="24" spans="1:7">
      <c r="A24" s="171" t="s">
        <v>76</v>
      </c>
      <c r="B24" s="37">
        <f>aantalw2001_steenkool</f>
        <v>145</v>
      </c>
      <c r="C24" s="166" t="s">
        <v>110</v>
      </c>
      <c r="D24" s="229"/>
      <c r="E24" s="15"/>
    </row>
    <row r="25" spans="1:7">
      <c r="A25" s="171" t="s">
        <v>77</v>
      </c>
      <c r="B25" s="37">
        <f>aantalw2001_stookolie</f>
        <v>2274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695</v>
      </c>
      <c r="B28" s="37">
        <f>aantalHuishoudens</f>
        <v>4439</v>
      </c>
      <c r="C28" s="36"/>
      <c r="D28" s="228"/>
    </row>
    <row r="29" spans="1:7" s="15" customFormat="1">
      <c r="A29" s="230" t="s">
        <v>696</v>
      </c>
      <c r="B29" s="37">
        <f>SUM(HH_hh_gas_aantal,HH_rest_gas_aantal)</f>
        <v>2196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2196</v>
      </c>
      <c r="C32" s="167">
        <f>IF(ISERROR(B32/SUM($B$32,$B$34,$B$35,$B$36,$B$38,$B$39)*100),0,B32/SUM($B$32,$B$34,$B$35,$B$36,$B$38,$B$39)*100)</f>
        <v>50.045578851412941</v>
      </c>
      <c r="D32" s="233"/>
      <c r="G32" s="15"/>
    </row>
    <row r="33" spans="1:7">
      <c r="A33" s="171" t="s">
        <v>71</v>
      </c>
      <c r="B33" s="34" t="s">
        <v>110</v>
      </c>
      <c r="C33" s="167"/>
      <c r="D33" s="233"/>
      <c r="G33" s="15"/>
    </row>
    <row r="34" spans="1:7">
      <c r="A34" s="171" t="s">
        <v>72</v>
      </c>
      <c r="B34" s="33">
        <f>IF((($B$28-$B$32-$B$39-$B$77-$B$38)*C20/100)&lt;0,0,($B$28-$B$32-$B$39-$B$77-$B$38)*C20/100)</f>
        <v>158.43302752293579</v>
      </c>
      <c r="C34" s="167">
        <f>IF(ISERROR(B34/SUM($B$32,$B$34,$B$35,$B$36,$B$38,$B$39)*100),0,B34/SUM($B$32,$B$34,$B$35,$B$36,$B$38,$B$39)*100)</f>
        <v>3.6105977101854099</v>
      </c>
      <c r="D34" s="233"/>
      <c r="G34" s="15"/>
    </row>
    <row r="35" spans="1:7">
      <c r="A35" s="171" t="s">
        <v>73</v>
      </c>
      <c r="B35" s="33">
        <f>IF((($B$28-$B$32-$B$39-$B$77-$B$38)*C21/100)&lt;0,0,($B$28-$B$32-$B$39-$B$77-$B$38)*C21/100)</f>
        <v>794.12110091743136</v>
      </c>
      <c r="C35" s="167">
        <f>IF(ISERROR(B35/SUM($B$32,$B$34,$B$35,$B$36,$B$38,$B$39)*100),0,B35/SUM($B$32,$B$34,$B$35,$B$36,$B$38,$B$39)*100)</f>
        <v>18.097563831299713</v>
      </c>
      <c r="D35" s="233"/>
      <c r="G35" s="15"/>
    </row>
    <row r="36" spans="1:7">
      <c r="A36" s="171" t="s">
        <v>74</v>
      </c>
      <c r="B36" s="33">
        <f>IF((($B$28-$B$32-$B$39-$B$77-$B$38)*C22/100)&lt;0,0,($B$28-$B$32-$B$39-$B$77-$B$38)*C22/100)</f>
        <v>113.44587155963303</v>
      </c>
      <c r="C36" s="167">
        <f>IF(ISERROR(B36/SUM($B$32,$B$34,$B$35,$B$36,$B$38,$B$39)*100),0,B36/SUM($B$32,$B$34,$B$35,$B$36,$B$38,$B$39)*100)</f>
        <v>2.5853662616142441</v>
      </c>
      <c r="D36" s="233"/>
      <c r="G36" s="15"/>
    </row>
    <row r="37" spans="1:7">
      <c r="A37" s="171" t="s">
        <v>75</v>
      </c>
      <c r="B37" s="34" t="s">
        <v>110</v>
      </c>
      <c r="C37" s="167"/>
      <c r="D37" s="173"/>
      <c r="G37" s="15"/>
    </row>
    <row r="38" spans="1:7">
      <c r="A38" s="171" t="s">
        <v>76</v>
      </c>
      <c r="B38" s="33">
        <f>IF((B24-(B29-B18)*0.1)&lt;0,0,B24-(B29-B18)*0.1)</f>
        <v>15.699999999999989</v>
      </c>
      <c r="C38" s="167">
        <f>IF(ISERROR(B38/SUM($B$32,$B$34,$B$35,$B$36,$B$38,$B$39)*100),0,B38/SUM($B$32,$B$34,$B$35,$B$36,$B$38,$B$39)*100)</f>
        <v>0.35779398359161324</v>
      </c>
      <c r="D38" s="234"/>
      <c r="G38" s="15"/>
    </row>
    <row r="39" spans="1:7">
      <c r="A39" s="171" t="s">
        <v>77</v>
      </c>
      <c r="B39" s="33">
        <f>IF((B25-(B29-B18))&lt;0,0,B25-(B29-B18)*0.9)</f>
        <v>1110.3</v>
      </c>
      <c r="C39" s="167">
        <f>IF(ISERROR(B39/SUM($B$32,$B$34,$B$35,$B$36,$B$38,$B$39)*100),0,B39/SUM($B$32,$B$34,$B$35,$B$36,$B$38,$B$39)*100)</f>
        <v>25.303099361896081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2196</v>
      </c>
      <c r="C44" s="34" t="s">
        <v>110</v>
      </c>
      <c r="D44" s="174"/>
    </row>
    <row r="45" spans="1:7">
      <c r="A45" s="171" t="s">
        <v>71</v>
      </c>
      <c r="B45" s="33" t="str">
        <f t="shared" si="0"/>
        <v>-</v>
      </c>
      <c r="C45" s="34" t="s">
        <v>110</v>
      </c>
      <c r="D45" s="174"/>
    </row>
    <row r="46" spans="1:7">
      <c r="A46" s="171" t="s">
        <v>72</v>
      </c>
      <c r="B46" s="33">
        <f t="shared" si="0"/>
        <v>158.43302752293579</v>
      </c>
      <c r="C46" s="34" t="s">
        <v>110</v>
      </c>
      <c r="D46" s="174"/>
    </row>
    <row r="47" spans="1:7">
      <c r="A47" s="171" t="s">
        <v>73</v>
      </c>
      <c r="B47" s="33">
        <f t="shared" si="0"/>
        <v>794.12110091743136</v>
      </c>
      <c r="C47" s="34" t="s">
        <v>110</v>
      </c>
      <c r="D47" s="174"/>
    </row>
    <row r="48" spans="1:7">
      <c r="A48" s="171" t="s">
        <v>74</v>
      </c>
      <c r="B48" s="33">
        <f t="shared" si="0"/>
        <v>113.44587155963303</v>
      </c>
      <c r="C48" s="33">
        <f>B48*10</f>
        <v>1134.4587155963304</v>
      </c>
      <c r="D48" s="234"/>
    </row>
    <row r="49" spans="1:6">
      <c r="A49" s="171" t="s">
        <v>75</v>
      </c>
      <c r="B49" s="33" t="str">
        <f t="shared" si="0"/>
        <v>-</v>
      </c>
      <c r="C49" s="34" t="s">
        <v>110</v>
      </c>
      <c r="D49" s="234"/>
    </row>
    <row r="50" spans="1:6">
      <c r="A50" s="171" t="s">
        <v>76</v>
      </c>
      <c r="B50" s="33">
        <f t="shared" si="0"/>
        <v>15.699999999999989</v>
      </c>
      <c r="C50" s="33">
        <f>B50*2</f>
        <v>31.399999999999977</v>
      </c>
      <c r="D50" s="234"/>
    </row>
    <row r="51" spans="1:6">
      <c r="A51" s="171" t="s">
        <v>77</v>
      </c>
      <c r="B51" s="33">
        <f t="shared" si="0"/>
        <v>1110.3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86</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6140.3323947600002</v>
      </c>
      <c r="C5" s="17">
        <f>IF(ISERROR('Eigen informatie GS &amp; warmtenet'!B58),0,'Eigen informatie GS &amp; warmtenet'!B58)</f>
        <v>0</v>
      </c>
      <c r="D5" s="30">
        <f>SUM(D6:D12)</f>
        <v>8820.8156831300003</v>
      </c>
      <c r="E5" s="17">
        <f>SUM(E6:E12)</f>
        <v>112.42042715017782</v>
      </c>
      <c r="F5" s="17">
        <f>SUM(F6:F12)</f>
        <v>1608.3643998469609</v>
      </c>
      <c r="G5" s="18"/>
      <c r="H5" s="17"/>
      <c r="I5" s="17"/>
      <c r="J5" s="17">
        <f>SUM(J6:J12)</f>
        <v>0</v>
      </c>
      <c r="K5" s="17"/>
      <c r="L5" s="17"/>
      <c r="M5" s="17"/>
      <c r="N5" s="17">
        <f>SUM(N6:N12)</f>
        <v>574.08539369980838</v>
      </c>
      <c r="O5" s="17">
        <f>B38*B39*B40</f>
        <v>1.5633333333333335</v>
      </c>
      <c r="P5" s="17">
        <f>B46*B47*B48/1000-B46*B47*B48/1000/B49</f>
        <v>19.066666666666666</v>
      </c>
      <c r="R5" s="32"/>
    </row>
    <row r="6" spans="1:18">
      <c r="A6" s="32" t="s">
        <v>53</v>
      </c>
      <c r="B6" s="37">
        <f>B26</f>
        <v>845.82187566999994</v>
      </c>
      <c r="C6" s="33"/>
      <c r="D6" s="37">
        <f>IF(ISERROR(TER_kantoor_gas_kWh/1000),0,TER_kantoor_gas_kWh/1000)*0.902</f>
        <v>1945.9264218613998</v>
      </c>
      <c r="E6" s="33">
        <f>$C$26*'E Balans VL '!I12/100/3.6*1000000</f>
        <v>11.07285025399122</v>
      </c>
      <c r="F6" s="33">
        <f>$C$26*('E Balans VL '!L12+'E Balans VL '!N12)/100/3.6*1000000</f>
        <v>215.67583789908346</v>
      </c>
      <c r="G6" s="34"/>
      <c r="H6" s="33"/>
      <c r="I6" s="33"/>
      <c r="J6" s="33">
        <f>$C$26*('E Balans VL '!D12+'E Balans VL '!E12)/100/3.6*1000000</f>
        <v>0</v>
      </c>
      <c r="K6" s="33"/>
      <c r="L6" s="33"/>
      <c r="M6" s="33"/>
      <c r="N6" s="33">
        <f>$C$26*'E Balans VL '!Y12/100/3.6*1000000</f>
        <v>0.84867013553172266</v>
      </c>
      <c r="O6" s="33"/>
      <c r="P6" s="33"/>
      <c r="R6" s="32"/>
    </row>
    <row r="7" spans="1:18">
      <c r="A7" s="32" t="s">
        <v>52</v>
      </c>
      <c r="B7" s="37">
        <f t="shared" ref="B7:B12" si="0">B27</f>
        <v>652.40137259000005</v>
      </c>
      <c r="C7" s="33"/>
      <c r="D7" s="37">
        <f>IF(ISERROR(TER_horeca_gas_kWh/1000),0,TER_horeca_gas_kWh/1000)*0.902</f>
        <v>544.09676079593999</v>
      </c>
      <c r="E7" s="33">
        <f>$C$27*'E Balans VL '!I9/100/3.6*1000000</f>
        <v>21.590517008304065</v>
      </c>
      <c r="F7" s="33">
        <f>$C$27*('E Balans VL '!L9+'E Balans VL '!N9)/100/3.6*1000000</f>
        <v>280.53008990878271</v>
      </c>
      <c r="G7" s="34"/>
      <c r="H7" s="33"/>
      <c r="I7" s="33"/>
      <c r="J7" s="33">
        <f>$C$27*('E Balans VL '!D9+'E Balans VL '!E9)/100/3.6*1000000</f>
        <v>0</v>
      </c>
      <c r="K7" s="33"/>
      <c r="L7" s="33"/>
      <c r="M7" s="33"/>
      <c r="N7" s="33">
        <f>$C$27*'E Balans VL '!Y9/100/3.6*1000000</f>
        <v>0.15704248429001799</v>
      </c>
      <c r="O7" s="33"/>
      <c r="P7" s="33"/>
      <c r="R7" s="32"/>
    </row>
    <row r="8" spans="1:18">
      <c r="A8" s="6" t="s">
        <v>51</v>
      </c>
      <c r="B8" s="37">
        <f t="shared" si="0"/>
        <v>1060.1390127999998</v>
      </c>
      <c r="C8" s="33"/>
      <c r="D8" s="37">
        <f>IF(ISERROR(TER_handel_gas_kWh/1000),0,TER_handel_gas_kWh/1000)*0.902</f>
        <v>553.04265870875997</v>
      </c>
      <c r="E8" s="33">
        <f>$C$28*'E Balans VL '!I13/100/3.6*1000000</f>
        <v>33.459607088162329</v>
      </c>
      <c r="F8" s="33">
        <f>$C$28*('E Balans VL '!L13+'E Balans VL '!N13)/100/3.6*1000000</f>
        <v>207.91192829909008</v>
      </c>
      <c r="G8" s="34"/>
      <c r="H8" s="33"/>
      <c r="I8" s="33"/>
      <c r="J8" s="33">
        <f>$C$28*('E Balans VL '!D13+'E Balans VL '!E13)/100/3.6*1000000</f>
        <v>0</v>
      </c>
      <c r="K8" s="33"/>
      <c r="L8" s="33"/>
      <c r="M8" s="33"/>
      <c r="N8" s="33">
        <f>$C$28*'E Balans VL '!Y13/100/3.6*1000000</f>
        <v>1.2581791847310495</v>
      </c>
      <c r="O8" s="33"/>
      <c r="P8" s="33"/>
      <c r="R8" s="32"/>
    </row>
    <row r="9" spans="1:18">
      <c r="A9" s="32" t="s">
        <v>50</v>
      </c>
      <c r="B9" s="37">
        <f t="shared" si="0"/>
        <v>472.45340191999998</v>
      </c>
      <c r="C9" s="33"/>
      <c r="D9" s="37">
        <f>IF(ISERROR(TER_gezond_gas_kWh/1000),0,TER_gezond_gas_kWh/1000)*0.902</f>
        <v>1787.6871595220002</v>
      </c>
      <c r="E9" s="33">
        <f>$C$29*'E Balans VL '!I10/100/3.6*1000000</f>
        <v>6.0487856763364024E-2</v>
      </c>
      <c r="F9" s="33">
        <f>$C$29*('E Balans VL '!L10+'E Balans VL '!N10)/100/3.6*1000000</f>
        <v>98.431845956763581</v>
      </c>
      <c r="G9" s="34"/>
      <c r="H9" s="33"/>
      <c r="I9" s="33"/>
      <c r="J9" s="33">
        <f>$C$29*('E Balans VL '!D10+'E Balans VL '!E10)/100/3.6*1000000</f>
        <v>0</v>
      </c>
      <c r="K9" s="33"/>
      <c r="L9" s="33"/>
      <c r="M9" s="33"/>
      <c r="N9" s="33">
        <f>$C$29*'E Balans VL '!Y10/100/3.6*1000000</f>
        <v>5.5491885163858887</v>
      </c>
      <c r="O9" s="33"/>
      <c r="P9" s="33"/>
      <c r="R9" s="32"/>
    </row>
    <row r="10" spans="1:18">
      <c r="A10" s="32" t="s">
        <v>49</v>
      </c>
      <c r="B10" s="37">
        <f t="shared" si="0"/>
        <v>429.50059289000001</v>
      </c>
      <c r="C10" s="33"/>
      <c r="D10" s="37">
        <f>IF(ISERROR(TER_ander_gas_kWh/1000),0,TER_ander_gas_kWh/1000)*0.902</f>
        <v>947.41647581019993</v>
      </c>
      <c r="E10" s="33">
        <f>$C$30*'E Balans VL '!I14/100/3.6*1000000</f>
        <v>0.6458678879471208</v>
      </c>
      <c r="F10" s="33">
        <f>$C$30*('E Balans VL '!L14+'E Balans VL '!N14)/100/3.6*1000000</f>
        <v>94.819886131594259</v>
      </c>
      <c r="G10" s="34"/>
      <c r="H10" s="33"/>
      <c r="I10" s="33"/>
      <c r="J10" s="33">
        <f>$C$30*('E Balans VL '!D14+'E Balans VL '!E14)/100/3.6*1000000</f>
        <v>0</v>
      </c>
      <c r="K10" s="33"/>
      <c r="L10" s="33"/>
      <c r="M10" s="33"/>
      <c r="N10" s="33">
        <f>$C$30*'E Balans VL '!Y14/100/3.6*1000000</f>
        <v>338.47537149742089</v>
      </c>
      <c r="O10" s="33"/>
      <c r="P10" s="33"/>
      <c r="R10" s="32"/>
    </row>
    <row r="11" spans="1:18">
      <c r="A11" s="32" t="s">
        <v>54</v>
      </c>
      <c r="B11" s="37">
        <f t="shared" si="0"/>
        <v>100.63711899</v>
      </c>
      <c r="C11" s="33"/>
      <c r="D11" s="37">
        <f>IF(ISERROR(TER_onderwijs_gas_kWh/1000),0,TER_onderwijs_gas_kWh/1000)*0.902</f>
        <v>448.50187893390006</v>
      </c>
      <c r="E11" s="33">
        <f>$C$31*'E Balans VL '!I11/100/3.6*1000000</f>
        <v>0.17723039990281031</v>
      </c>
      <c r="F11" s="33">
        <f>$C$31*('E Balans VL '!L11+'E Balans VL '!N11)/100/3.6*1000000</f>
        <v>46.465978863339288</v>
      </c>
      <c r="G11" s="34"/>
      <c r="H11" s="33"/>
      <c r="I11" s="33"/>
      <c r="J11" s="33">
        <f>$C$31*('E Balans VL '!D11+'E Balans VL '!E11)/100/3.6*1000000</f>
        <v>0</v>
      </c>
      <c r="K11" s="33"/>
      <c r="L11" s="33"/>
      <c r="M11" s="33"/>
      <c r="N11" s="33">
        <f>$C$31*'E Balans VL '!Y11/100/3.6*1000000</f>
        <v>0.18748834436681863</v>
      </c>
      <c r="O11" s="33"/>
      <c r="P11" s="33"/>
      <c r="R11" s="32"/>
    </row>
    <row r="12" spans="1:18">
      <c r="A12" s="32" t="s">
        <v>259</v>
      </c>
      <c r="B12" s="37">
        <f t="shared" si="0"/>
        <v>2579.3790199</v>
      </c>
      <c r="C12" s="33"/>
      <c r="D12" s="37">
        <f>IF(ISERROR(TER_rest_gas_kWh/1000),0,TER_rest_gas_kWh/1000)*0.902</f>
        <v>2594.1443274978001</v>
      </c>
      <c r="E12" s="33">
        <f>$C$32*'E Balans VL '!I8/100/3.6*1000000</f>
        <v>45.413866655106915</v>
      </c>
      <c r="F12" s="33">
        <f>$C$32*('E Balans VL '!L8+'E Balans VL '!N8)/100/3.6*1000000</f>
        <v>664.52883278830757</v>
      </c>
      <c r="G12" s="34"/>
      <c r="H12" s="33"/>
      <c r="I12" s="33"/>
      <c r="J12" s="33">
        <f>$C$32*('E Balans VL '!D8+'E Balans VL '!E8)/100/3.6*1000000</f>
        <v>0</v>
      </c>
      <c r="K12" s="33"/>
      <c r="L12" s="33"/>
      <c r="M12" s="33"/>
      <c r="N12" s="33">
        <f>$C$32*'E Balans VL '!Y8/100/3.6*1000000</f>
        <v>227.60945353708195</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6140.3323947600002</v>
      </c>
      <c r="C16" s="21">
        <f t="shared" ca="1" si="1"/>
        <v>0</v>
      </c>
      <c r="D16" s="21">
        <f t="shared" ca="1" si="1"/>
        <v>8820.8156831300003</v>
      </c>
      <c r="E16" s="21">
        <f t="shared" si="1"/>
        <v>112.42042715017782</v>
      </c>
      <c r="F16" s="21">
        <f t="shared" ca="1" si="1"/>
        <v>1608.3643998469609</v>
      </c>
      <c r="G16" s="21">
        <f t="shared" si="1"/>
        <v>0</v>
      </c>
      <c r="H16" s="21">
        <f t="shared" si="1"/>
        <v>0</v>
      </c>
      <c r="I16" s="21">
        <f t="shared" si="1"/>
        <v>0</v>
      </c>
      <c r="J16" s="21">
        <f t="shared" si="1"/>
        <v>0</v>
      </c>
      <c r="K16" s="21">
        <f t="shared" si="1"/>
        <v>0</v>
      </c>
      <c r="L16" s="21">
        <f t="shared" ca="1" si="1"/>
        <v>0</v>
      </c>
      <c r="M16" s="21">
        <f t="shared" si="1"/>
        <v>0</v>
      </c>
      <c r="N16" s="21">
        <f t="shared" ca="1" si="1"/>
        <v>574.08539369980838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0.20640625298827034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1267.4030017049045</v>
      </c>
      <c r="C20" s="23">
        <f t="shared" ref="C20:P20" ca="1" si="2">C16*C18</f>
        <v>0</v>
      </c>
      <c r="D20" s="23">
        <f t="shared" ca="1" si="2"/>
        <v>1781.8047679922602</v>
      </c>
      <c r="E20" s="23">
        <f t="shared" si="2"/>
        <v>25.519436963090364</v>
      </c>
      <c r="F20" s="23">
        <f t="shared" ca="1" si="2"/>
        <v>429.43329475913856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845.82187566999994</v>
      </c>
      <c r="C26" s="39">
        <f>IF(ISERROR(B26*3.6/1000000/'E Balans VL '!Z12*100),0,B26*3.6/1000000/'E Balans VL '!Z12*100)</f>
        <v>1.8118161670279697E-2</v>
      </c>
      <c r="D26" s="237" t="s">
        <v>659</v>
      </c>
      <c r="F26" s="6"/>
    </row>
    <row r="27" spans="1:18">
      <c r="A27" s="231" t="s">
        <v>52</v>
      </c>
      <c r="B27" s="33">
        <f>IF(ISERROR(TER_horeca_ele_kWh/1000),0,TER_horeca_ele_kWh/1000)</f>
        <v>652.40137259000005</v>
      </c>
      <c r="C27" s="39">
        <f>IF(ISERROR(B27*3.6/1000000/'E Balans VL '!Z9*100),0,B27*3.6/1000000/'E Balans VL '!Z9*100)</f>
        <v>5.2352942426323414E-2</v>
      </c>
      <c r="D27" s="237" t="s">
        <v>659</v>
      </c>
      <c r="F27" s="6"/>
    </row>
    <row r="28" spans="1:18">
      <c r="A28" s="171" t="s">
        <v>51</v>
      </c>
      <c r="B28" s="33">
        <f>IF(ISERROR(TER_handel_ele_kWh/1000),0,TER_handel_ele_kWh/1000)</f>
        <v>1060.1390127999998</v>
      </c>
      <c r="C28" s="39">
        <f>IF(ISERROR(B28*3.6/1000000/'E Balans VL '!Z13*100),0,B28*3.6/1000000/'E Balans VL '!Z13*100)</f>
        <v>3.1268020162762589E-2</v>
      </c>
      <c r="D28" s="237" t="s">
        <v>659</v>
      </c>
      <c r="F28" s="6"/>
    </row>
    <row r="29" spans="1:18">
      <c r="A29" s="231" t="s">
        <v>50</v>
      </c>
      <c r="B29" s="33">
        <f>IF(ISERROR(TER_gezond_ele_kWh/1000),0,TER_gezond_ele_kWh/1000)</f>
        <v>472.45340191999998</v>
      </c>
      <c r="C29" s="39">
        <f>IF(ISERROR(B29*3.6/1000000/'E Balans VL '!Z10*100),0,B29*3.6/1000000/'E Balans VL '!Z10*100)</f>
        <v>5.0445356374343775E-2</v>
      </c>
      <c r="D29" s="237" t="s">
        <v>659</v>
      </c>
      <c r="F29" s="6"/>
    </row>
    <row r="30" spans="1:18">
      <c r="A30" s="231" t="s">
        <v>49</v>
      </c>
      <c r="B30" s="33">
        <f>IF(ISERROR(TER_ander_ele_kWh/1000),0,TER_ander_ele_kWh/1000)</f>
        <v>429.50059289000001</v>
      </c>
      <c r="C30" s="39">
        <f>IF(ISERROR(B30*3.6/1000000/'E Balans VL '!Z14*100),0,B30*3.6/1000000/'E Balans VL '!Z14*100)</f>
        <v>3.2441866361778919E-2</v>
      </c>
      <c r="D30" s="237" t="s">
        <v>659</v>
      </c>
      <c r="F30" s="6"/>
    </row>
    <row r="31" spans="1:18">
      <c r="A31" s="231" t="s">
        <v>54</v>
      </c>
      <c r="B31" s="33">
        <f>IF(ISERROR(TER_onderwijs_ele_kWh/1000),0,TER_onderwijs_ele_kWh/1000)</f>
        <v>100.63711899</v>
      </c>
      <c r="C31" s="39">
        <f>IF(ISERROR(B31*3.6/1000000/'E Balans VL '!Z11*100),0,B31*3.6/1000000/'E Balans VL '!Z11*100)</f>
        <v>2.0321993850650463E-2</v>
      </c>
      <c r="D31" s="237" t="s">
        <v>659</v>
      </c>
    </row>
    <row r="32" spans="1:18">
      <c r="A32" s="231" t="s">
        <v>259</v>
      </c>
      <c r="B32" s="33">
        <f>IF(ISERROR(TER_rest_ele_kWh/1000),0,TER_rest_ele_kWh/1000)</f>
        <v>2579.3790199</v>
      </c>
      <c r="C32" s="39">
        <f>IF(ISERROR(B32*3.6/1000000/'E Balans VL '!Z8*100),0,B32*3.6/1000000/'E Balans VL '!Z8*100)</f>
        <v>2.138664383434483E-2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4632.6174442020001</v>
      </c>
      <c r="C5" s="17">
        <f>IF(ISERROR('Eigen informatie GS &amp; warmtenet'!B59),0,'Eigen informatie GS &amp; warmtenet'!B59)</f>
        <v>0</v>
      </c>
      <c r="D5" s="30">
        <f>SUM(D6:D15)</f>
        <v>816.84939332106001</v>
      </c>
      <c r="E5" s="17">
        <f>SUM(E6:E15)</f>
        <v>320.29502600128114</v>
      </c>
      <c r="F5" s="17">
        <f>SUM(F6:F15)</f>
        <v>1256.6223622283712</v>
      </c>
      <c r="G5" s="18"/>
      <c r="H5" s="17"/>
      <c r="I5" s="17"/>
      <c r="J5" s="17">
        <f>SUM(J6:J15)</f>
        <v>33.16432447287648</v>
      </c>
      <c r="K5" s="17"/>
      <c r="L5" s="17"/>
      <c r="M5" s="17"/>
      <c r="N5" s="17">
        <f>SUM(N6:N15)</f>
        <v>308.37895158771727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49.641616532</v>
      </c>
      <c r="C8" s="33"/>
      <c r="D8" s="37">
        <f>IF( ISERROR(IND_metaal_Gas_kWH/1000),0,IND_metaal_Gas_kWH/1000)*0.902</f>
        <v>127.00881562116001</v>
      </c>
      <c r="E8" s="33">
        <f>C30*'E Balans VL '!I18/100/3.6*1000000</f>
        <v>1.7862555388915053</v>
      </c>
      <c r="F8" s="33">
        <f>C30*'E Balans VL '!L18/100/3.6*1000000+C30*'E Balans VL '!N18/100/3.6*1000000</f>
        <v>21.676884731450919</v>
      </c>
      <c r="G8" s="34"/>
      <c r="H8" s="33"/>
      <c r="I8" s="33"/>
      <c r="J8" s="40">
        <f>C30*'E Balans VL '!D18/100/3.6*1000000+C30*'E Balans VL '!E18/100/3.6*1000000</f>
        <v>0</v>
      </c>
      <c r="K8" s="33"/>
      <c r="L8" s="33"/>
      <c r="M8" s="33"/>
      <c r="N8" s="33">
        <f>C30*'E Balans VL '!Y18/100/3.6*1000000</f>
        <v>2.4880040855308532</v>
      </c>
      <c r="O8" s="33"/>
      <c r="P8" s="33"/>
      <c r="R8" s="32"/>
    </row>
    <row r="9" spans="1:18">
      <c r="A9" s="6" t="s">
        <v>32</v>
      </c>
      <c r="B9" s="37">
        <f t="shared" si="0"/>
        <v>365.51117393999999</v>
      </c>
      <c r="C9" s="33"/>
      <c r="D9" s="37">
        <f>IF( ISERROR(IND_andere_gas_kWh/1000),0,IND_andere_gas_kWh/1000)*0.902</f>
        <v>247.46710721480002</v>
      </c>
      <c r="E9" s="33">
        <f>C31*'E Balans VL '!I19/100/3.6*1000000</f>
        <v>93.270181667545671</v>
      </c>
      <c r="F9" s="33">
        <f>C31*'E Balans VL '!L19/100/3.6*1000000+C31*'E Balans VL '!N19/100/3.6*1000000</f>
        <v>314.67764787445253</v>
      </c>
      <c r="G9" s="34"/>
      <c r="H9" s="33"/>
      <c r="I9" s="33"/>
      <c r="J9" s="40">
        <f>C31*'E Balans VL '!D19/100/3.6*1000000+C31*'E Balans VL '!E19/100/3.6*1000000</f>
        <v>0</v>
      </c>
      <c r="K9" s="33"/>
      <c r="L9" s="33"/>
      <c r="M9" s="33"/>
      <c r="N9" s="33">
        <f>C31*'E Balans VL '!Y19/100/3.6*1000000</f>
        <v>28.834554515804012</v>
      </c>
      <c r="O9" s="33"/>
      <c r="P9" s="33"/>
      <c r="R9" s="32"/>
    </row>
    <row r="10" spans="1:18">
      <c r="A10" s="6" t="s">
        <v>40</v>
      </c>
      <c r="B10" s="37">
        <f t="shared" si="0"/>
        <v>126.69719593000001</v>
      </c>
      <c r="C10" s="33"/>
      <c r="D10" s="37">
        <f>IF( ISERROR(IND_voed_gas_kWh/1000),0,IND_voed_gas_kWh/1000)*0.902</f>
        <v>0</v>
      </c>
      <c r="E10" s="33">
        <f>C32*'E Balans VL '!I20/100/3.6*1000000</f>
        <v>3.2208166900471191</v>
      </c>
      <c r="F10" s="33">
        <f>C32*'E Balans VL '!L20/100/3.6*1000000+C32*'E Balans VL '!N20/100/3.6*1000000</f>
        <v>28.669673550029081</v>
      </c>
      <c r="G10" s="34"/>
      <c r="H10" s="33"/>
      <c r="I10" s="33"/>
      <c r="J10" s="40">
        <f>C32*'E Balans VL '!D20/100/3.6*1000000+C32*'E Balans VL '!E20/100/3.6*1000000</f>
        <v>0</v>
      </c>
      <c r="K10" s="33"/>
      <c r="L10" s="33"/>
      <c r="M10" s="33"/>
      <c r="N10" s="33">
        <f>C32*'E Balans VL '!Y20/100/3.6*1000000</f>
        <v>47.514882736327799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4090.7674578000001</v>
      </c>
      <c r="C15" s="33"/>
      <c r="D15" s="37">
        <f>IF( ISERROR(IND_rest_gas_kWh/1000),0,IND_rest_gas_kWh/1000)*0.902</f>
        <v>442.37347048510003</v>
      </c>
      <c r="E15" s="33">
        <f>C37*'E Balans VL '!I15/100/3.6*1000000</f>
        <v>222.01777210479685</v>
      </c>
      <c r="F15" s="33">
        <f>C37*'E Balans VL '!L15/100/3.6*1000000+C37*'E Balans VL '!N15/100/3.6*1000000</f>
        <v>891.59815607243877</v>
      </c>
      <c r="G15" s="34"/>
      <c r="H15" s="33"/>
      <c r="I15" s="33"/>
      <c r="J15" s="40">
        <f>C37*'E Balans VL '!D15/100/3.6*1000000+C37*'E Balans VL '!E15/100/3.6*1000000</f>
        <v>33.16432447287648</v>
      </c>
      <c r="K15" s="33"/>
      <c r="L15" s="33"/>
      <c r="M15" s="33"/>
      <c r="N15" s="33">
        <f>C37*'E Balans VL '!Y15/100/3.6*1000000</f>
        <v>229.54151025005461</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4632.6174442020001</v>
      </c>
      <c r="C18" s="21">
        <f>C5+C16</f>
        <v>0</v>
      </c>
      <c r="D18" s="21">
        <f>MAX((D5+D16),0)</f>
        <v>816.84939332106001</v>
      </c>
      <c r="E18" s="21">
        <f>MAX((E5+E16),0)</f>
        <v>320.29502600128114</v>
      </c>
      <c r="F18" s="21">
        <f>MAX((F5+F16),0)</f>
        <v>1256.6223622283712</v>
      </c>
      <c r="G18" s="21"/>
      <c r="H18" s="21"/>
      <c r="I18" s="21"/>
      <c r="J18" s="21">
        <f>MAX((J5+J16),0)</f>
        <v>33.16432447287648</v>
      </c>
      <c r="K18" s="21"/>
      <c r="L18" s="21">
        <f>MAX((L5+L16),0)</f>
        <v>0</v>
      </c>
      <c r="M18" s="21"/>
      <c r="N18" s="21">
        <f>MAX((N5+N16),0)</f>
        <v>308.37895158771727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0.20640625298827034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956.20120818583234</v>
      </c>
      <c r="C22" s="23">
        <f ca="1">C18*C20</f>
        <v>0</v>
      </c>
      <c r="D22" s="23">
        <f>D18*D20</f>
        <v>165.00357745085412</v>
      </c>
      <c r="E22" s="23">
        <f>E18*E20</f>
        <v>72.70697090229082</v>
      </c>
      <c r="F22" s="23">
        <f>F18*F20</f>
        <v>335.51817071497516</v>
      </c>
      <c r="G22" s="23"/>
      <c r="H22" s="23"/>
      <c r="I22" s="23"/>
      <c r="J22" s="23">
        <f>J18*J20</f>
        <v>11.740170863398273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49.641616532</v>
      </c>
      <c r="C30" s="39">
        <f>IF(ISERROR(B30*3.6/1000000/'E Balans VL '!Z18*100),0,B30*3.6/1000000/'E Balans VL '!Z18*100)</f>
        <v>1.0517994254922246E-2</v>
      </c>
      <c r="D30" s="237" t="s">
        <v>659</v>
      </c>
    </row>
    <row r="31" spans="1:18">
      <c r="A31" s="6" t="s">
        <v>32</v>
      </c>
      <c r="B31" s="37">
        <f>IF( ISERROR(IND_ander_ele_kWh/1000),0,IND_ander_ele_kWh/1000)</f>
        <v>365.51117393999999</v>
      </c>
      <c r="C31" s="39">
        <f>IF(ISERROR(B31*3.6/1000000/'E Balans VL '!Z19*100),0,B31*3.6/1000000/'E Balans VL '!Z19*100)</f>
        <v>1.5385195264614156E-2</v>
      </c>
      <c r="D31" s="237" t="s">
        <v>659</v>
      </c>
    </row>
    <row r="32" spans="1:18">
      <c r="A32" s="171" t="s">
        <v>40</v>
      </c>
      <c r="B32" s="37">
        <f>IF( ISERROR(IND_voed_ele_kWh/1000),0,IND_voed_ele_kWh/1000)</f>
        <v>126.69719593000001</v>
      </c>
      <c r="C32" s="39">
        <f>IF(ISERROR(B32*3.6/1000000/'E Balans VL '!Z20*100),0,B32*3.6/1000000/'E Balans VL '!Z20*100)</f>
        <v>2.1166200060288451E-2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4090.7674578000001</v>
      </c>
      <c r="C37" s="39">
        <f>IF(ISERROR(B37*3.6/1000000/'E Balans VL '!Z15*100),0,B37*3.6/1000000/'E Balans VL '!Z15*100)</f>
        <v>3.3026349704580529E-2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439.31707176000003</v>
      </c>
      <c r="C5" s="17">
        <f>'Eigen informatie GS &amp; warmtenet'!B60</f>
        <v>0</v>
      </c>
      <c r="D5" s="30">
        <f>IF(ISERROR(SUM(LB_lb_gas_kWh,LB_rest_gas_kWh)/1000),0,SUM(LB_lb_gas_kWh,LB_rest_gas_kWh)/1000)*0.902</f>
        <v>215.00270044743598</v>
      </c>
      <c r="E5" s="17">
        <f>B17*'E Balans VL '!I25/3.6*1000000/100</f>
        <v>11.328300498151794</v>
      </c>
      <c r="F5" s="17">
        <f>B17*('E Balans VL '!L25/3.6*1000000+'E Balans VL '!N25/3.6*1000000)/100</f>
        <v>1605.787561154965</v>
      </c>
      <c r="G5" s="18"/>
      <c r="H5" s="17"/>
      <c r="I5" s="17"/>
      <c r="J5" s="17">
        <f>('E Balans VL '!D25+'E Balans VL '!E25)/3.6*1000000*landbouw!B17/100</f>
        <v>63.245497326974373</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439.31707176000003</v>
      </c>
      <c r="C8" s="21">
        <f>C5+C6</f>
        <v>0</v>
      </c>
      <c r="D8" s="21">
        <f>MAX((D5+D6),0)</f>
        <v>215.00270044743598</v>
      </c>
      <c r="E8" s="21">
        <f>MAX((E5+E6),0)</f>
        <v>11.328300498151794</v>
      </c>
      <c r="F8" s="21">
        <f>MAX((F5+F6),0)</f>
        <v>1605.787561154965</v>
      </c>
      <c r="G8" s="21"/>
      <c r="H8" s="21"/>
      <c r="I8" s="21"/>
      <c r="J8" s="21">
        <f>MAX((J5+J6),0)</f>
        <v>63.245497326974373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0.20640625298827034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90.677790655760688</v>
      </c>
      <c r="C12" s="23">
        <f ca="1">C8*C10</f>
        <v>0</v>
      </c>
      <c r="D12" s="23">
        <f>D8*D10</f>
        <v>43.430545490382073</v>
      </c>
      <c r="E12" s="23">
        <f>E8*E10</f>
        <v>2.5715242130804574</v>
      </c>
      <c r="F12" s="23">
        <f>F8*F10</f>
        <v>428.74527882837566</v>
      </c>
      <c r="G12" s="23"/>
      <c r="H12" s="23"/>
      <c r="I12" s="23"/>
      <c r="J12" s="23">
        <f>J8*J10</f>
        <v>22.388906053748926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6.1946617089193433E-2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62.492400807552563</v>
      </c>
      <c r="C26" s="247">
        <f>B26*'GWP N2O_CH4'!B5</f>
        <v>1312.3404169586038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17.241237109583977</v>
      </c>
      <c r="C27" s="247">
        <f>B27*'GWP N2O_CH4'!B5</f>
        <v>362.0659793012635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0.92557849810068138</v>
      </c>
      <c r="C28" s="247">
        <f>B28*'GWP N2O_CH4'!B4</f>
        <v>286.92933441121124</v>
      </c>
      <c r="D28" s="50"/>
    </row>
    <row r="29" spans="1:4">
      <c r="A29" s="41" t="s">
        <v>276</v>
      </c>
      <c r="B29" s="247">
        <f>B34*'ha_N2O bodem landbouw'!B4</f>
        <v>6.2543622778743613</v>
      </c>
      <c r="C29" s="247">
        <f>B29*'GWP N2O_CH4'!B4</f>
        <v>1938.8523061410519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1.40757138445458E-3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3.6612668307881448E-5</v>
      </c>
      <c r="C5" s="437" t="s">
        <v>210</v>
      </c>
      <c r="D5" s="422">
        <f>SUM(D6:D11)</f>
        <v>8.5149284143534244E-5</v>
      </c>
      <c r="E5" s="422">
        <f>SUM(E6:E11)</f>
        <v>3.7398408682740887E-4</v>
      </c>
      <c r="F5" s="435" t="s">
        <v>210</v>
      </c>
      <c r="G5" s="422">
        <f>SUM(G6:G11)</f>
        <v>0.14756059322550374</v>
      </c>
      <c r="H5" s="422">
        <f>SUM(H6:H11)</f>
        <v>2.8786477031887164E-2</v>
      </c>
      <c r="I5" s="437" t="s">
        <v>210</v>
      </c>
      <c r="J5" s="437" t="s">
        <v>210</v>
      </c>
      <c r="K5" s="437" t="s">
        <v>210</v>
      </c>
      <c r="L5" s="437" t="s">
        <v>210</v>
      </c>
      <c r="M5" s="422">
        <f>SUM(M6:M11)</f>
        <v>5.5049785082133861E-3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2.1431786851346448E-5</v>
      </c>
      <c r="C6" s="423"/>
      <c r="D6" s="865">
        <f>vkm_GW_PW*SUMIFS(TableVerdeelsleutelVkm[CNG],TableVerdeelsleutelVkm[Voertuigtype],"Lichte voertuigen")*SUMIFS(TableECFTransport[EnergieConsumptieFactor (PJ per km)],TableECFTransport[Index],CONCATENATE($A6,"_CNG_CNG"))</f>
        <v>3.8634582185691965E-5</v>
      </c>
      <c r="E6" s="865">
        <f>vkm_GW_PW*SUMIFS(TableVerdeelsleutelVkm[LPG],TableVerdeelsleutelVkm[Voertuigtype],"Lichte voertuigen")*SUMIFS(TableECFTransport[EnergieConsumptieFactor (PJ per km)],TableECFTransport[Index],CONCATENATE($A6,"_LPG_LPG"))</f>
        <v>1.7452887694750967E-4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4.7681050961968834E-2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1.3265369792755059E-2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1.8976149419679101E-3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3.2638840953196031E-2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5.8896185359999663E-7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1.0268197660123269E-3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1.5180881456535001E-5</v>
      </c>
      <c r="C8" s="423"/>
      <c r="D8" s="425">
        <f>vkm_NGW_PW*SUMIFS(TableVerdeelsleutelVkm[CNG],TableVerdeelsleutelVkm[Voertuigtype],"Lichte voertuigen")*SUMIFS(TableECFTransport[EnergieConsumptieFactor (PJ per km)],TableECFTransport[Index],CONCATENATE($A8,"_CNG_CNG"))</f>
        <v>4.6514701957842272E-5</v>
      </c>
      <c r="E8" s="425">
        <f>vkm_NGW_PW*SUMIFS(TableVerdeelsleutelVkm[LPG],TableVerdeelsleutelVkm[Voertuigtype],"Lichte voertuigen")*SUMIFS(TableECFTransport[EnergieConsumptieFactor (PJ per km)],TableECFTransport[Index],CONCATENATE($A8,"_LPG_LPG"))</f>
        <v>1.9945520987989921E-4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5.116478404599107E-2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1.5520160176691479E-2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2.074792503416844E-3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1.6075917264347827E-2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3.5810058702628674E-7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5.0575129681630561E-4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10.170185641078179</v>
      </c>
      <c r="C14" s="21"/>
      <c r="D14" s="21">
        <f t="shared" ref="D14:M14" si="0">((D5)*10^9/3600)+D12</f>
        <v>23.65257892875951</v>
      </c>
      <c r="E14" s="21">
        <f t="shared" si="0"/>
        <v>103.88446856316914</v>
      </c>
      <c r="F14" s="21"/>
      <c r="G14" s="21">
        <f t="shared" si="0"/>
        <v>40989.053673751041</v>
      </c>
      <c r="H14" s="21">
        <f t="shared" si="0"/>
        <v>7996.2436199686563</v>
      </c>
      <c r="I14" s="21"/>
      <c r="J14" s="21"/>
      <c r="K14" s="21"/>
      <c r="L14" s="21"/>
      <c r="M14" s="21">
        <f t="shared" si="0"/>
        <v>1529.1606967259406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0.20640625298827034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2.0991899103700571</v>
      </c>
      <c r="C18" s="23"/>
      <c r="D18" s="23">
        <f t="shared" ref="D18:M18" si="1">D14*D16</f>
        <v>4.777820943609421</v>
      </c>
      <c r="E18" s="23">
        <f t="shared" si="1"/>
        <v>23.581774363839394</v>
      </c>
      <c r="F18" s="23"/>
      <c r="G18" s="23">
        <f t="shared" si="1"/>
        <v>10944.077330891529</v>
      </c>
      <c r="H18" s="23">
        <f t="shared" si="1"/>
        <v>1991.0646613721954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6.7778286804380632E-3</v>
      </c>
      <c r="H50" s="319">
        <f t="shared" si="2"/>
        <v>0</v>
      </c>
      <c r="I50" s="319">
        <f t="shared" si="2"/>
        <v>0</v>
      </c>
      <c r="J50" s="319">
        <f t="shared" si="2"/>
        <v>0</v>
      </c>
      <c r="K50" s="319">
        <f t="shared" si="2"/>
        <v>0</v>
      </c>
      <c r="L50" s="319">
        <f t="shared" si="2"/>
        <v>0</v>
      </c>
      <c r="M50" s="319">
        <f t="shared" si="2"/>
        <v>2.0996769117439062E-4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6.7778286804380632E-3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2.0996769117439062E-4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1882.730189010573</v>
      </c>
      <c r="H54" s="21">
        <f t="shared" si="3"/>
        <v>0</v>
      </c>
      <c r="I54" s="21">
        <f t="shared" si="3"/>
        <v>0</v>
      </c>
      <c r="J54" s="21">
        <f t="shared" si="3"/>
        <v>0</v>
      </c>
      <c r="K54" s="21">
        <f t="shared" si="3"/>
        <v>0</v>
      </c>
      <c r="L54" s="21">
        <f t="shared" si="3"/>
        <v>0</v>
      </c>
      <c r="M54" s="21">
        <f t="shared" si="3"/>
        <v>58.324358659552949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0.20640625298827034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502.68896046582302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6755.8143947600001</v>
      </c>
      <c r="D10" s="978">
        <f ca="1">tertiair!C16</f>
        <v>0</v>
      </c>
      <c r="E10" s="978">
        <f ca="1">tertiair!D16</f>
        <v>8820.8156831300003</v>
      </c>
      <c r="F10" s="978">
        <f>tertiair!E16</f>
        <v>112.42042715017782</v>
      </c>
      <c r="G10" s="978">
        <f ca="1">tertiair!F16</f>
        <v>1608.3643998469609</v>
      </c>
      <c r="H10" s="978">
        <f>tertiair!G16</f>
        <v>0</v>
      </c>
      <c r="I10" s="978">
        <f>tertiair!H16</f>
        <v>0</v>
      </c>
      <c r="J10" s="978">
        <f>tertiair!I16</f>
        <v>0</v>
      </c>
      <c r="K10" s="978">
        <f>tertiair!J16</f>
        <v>0</v>
      </c>
      <c r="L10" s="978">
        <f>tertiair!K16</f>
        <v>0</v>
      </c>
      <c r="M10" s="978">
        <f ca="1">tertiair!L16</f>
        <v>0</v>
      </c>
      <c r="N10" s="978">
        <f>tertiair!M16</f>
        <v>0</v>
      </c>
      <c r="O10" s="978">
        <f ca="1">tertiair!N16</f>
        <v>574.08539369980838</v>
      </c>
      <c r="P10" s="978">
        <f>tertiair!O16</f>
        <v>1.5633333333333335</v>
      </c>
      <c r="Q10" s="979">
        <f>tertiair!P16</f>
        <v>19.066666666666666</v>
      </c>
      <c r="R10" s="674">
        <f ca="1">SUM(C10:Q10)</f>
        <v>17892.130298586948</v>
      </c>
      <c r="S10" s="67"/>
    </row>
    <row r="11" spans="1:19" s="447" customFormat="1">
      <c r="A11" s="783" t="s">
        <v>224</v>
      </c>
      <c r="B11" s="788"/>
      <c r="C11" s="978">
        <f>huishoudens!B8</f>
        <v>20919.325661119845</v>
      </c>
      <c r="D11" s="978">
        <f>huishoudens!C8</f>
        <v>0</v>
      </c>
      <c r="E11" s="978">
        <f>huishoudens!D8</f>
        <v>34753.783778735997</v>
      </c>
      <c r="F11" s="978">
        <f>huishoudens!E8</f>
        <v>12929.59412181396</v>
      </c>
      <c r="G11" s="978">
        <f>huishoudens!F8</f>
        <v>22634.280388778054</v>
      </c>
      <c r="H11" s="978">
        <f>huishoudens!G8</f>
        <v>0</v>
      </c>
      <c r="I11" s="978">
        <f>huishoudens!H8</f>
        <v>0</v>
      </c>
      <c r="J11" s="978">
        <f>huishoudens!I8</f>
        <v>0</v>
      </c>
      <c r="K11" s="978">
        <f>huishoudens!J8</f>
        <v>279.49709624250011</v>
      </c>
      <c r="L11" s="978">
        <f>huishoudens!K8</f>
        <v>0</v>
      </c>
      <c r="M11" s="978">
        <f>huishoudens!L8</f>
        <v>0</v>
      </c>
      <c r="N11" s="978">
        <f>huishoudens!M8</f>
        <v>0</v>
      </c>
      <c r="O11" s="978">
        <f>huishoudens!N8</f>
        <v>7398.6062604454191</v>
      </c>
      <c r="P11" s="978">
        <f>huishoudens!O8</f>
        <v>134.44666666666666</v>
      </c>
      <c r="Q11" s="979">
        <f>huishoudens!P8</f>
        <v>972.4</v>
      </c>
      <c r="R11" s="674">
        <f>SUM(C11:Q11)</f>
        <v>100021.93397380243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4632.6174442020001</v>
      </c>
      <c r="D13" s="978">
        <f>industrie!C18</f>
        <v>0</v>
      </c>
      <c r="E13" s="978">
        <f>industrie!D18</f>
        <v>816.84939332106001</v>
      </c>
      <c r="F13" s="978">
        <f>industrie!E18</f>
        <v>320.29502600128114</v>
      </c>
      <c r="G13" s="978">
        <f>industrie!F18</f>
        <v>1256.6223622283712</v>
      </c>
      <c r="H13" s="978">
        <f>industrie!G18</f>
        <v>0</v>
      </c>
      <c r="I13" s="978">
        <f>industrie!H18</f>
        <v>0</v>
      </c>
      <c r="J13" s="978">
        <f>industrie!I18</f>
        <v>0</v>
      </c>
      <c r="K13" s="978">
        <f>industrie!J18</f>
        <v>33.16432447287648</v>
      </c>
      <c r="L13" s="978">
        <f>industrie!K18</f>
        <v>0</v>
      </c>
      <c r="M13" s="978">
        <f>industrie!L18</f>
        <v>0</v>
      </c>
      <c r="N13" s="978">
        <f>industrie!M18</f>
        <v>0</v>
      </c>
      <c r="O13" s="978">
        <f>industrie!N18</f>
        <v>308.37895158771727</v>
      </c>
      <c r="P13" s="978">
        <f>industrie!O18</f>
        <v>0</v>
      </c>
      <c r="Q13" s="979">
        <f>industrie!P18</f>
        <v>0</v>
      </c>
      <c r="R13" s="674">
        <f>SUM(C13:Q13)</f>
        <v>7367.9275018133067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32307.757500081847</v>
      </c>
      <c r="D16" s="706">
        <f t="shared" ref="D16:R16" ca="1" si="0">SUM(D9:D15)</f>
        <v>0</v>
      </c>
      <c r="E16" s="706">
        <f t="shared" ca="1" si="0"/>
        <v>44391.44885518706</v>
      </c>
      <c r="F16" s="706">
        <f t="shared" si="0"/>
        <v>13362.309574965419</v>
      </c>
      <c r="G16" s="706">
        <f t="shared" ca="1" si="0"/>
        <v>25499.267150853386</v>
      </c>
      <c r="H16" s="706">
        <f t="shared" si="0"/>
        <v>0</v>
      </c>
      <c r="I16" s="706">
        <f t="shared" si="0"/>
        <v>0</v>
      </c>
      <c r="J16" s="706">
        <f t="shared" si="0"/>
        <v>0</v>
      </c>
      <c r="K16" s="706">
        <f t="shared" si="0"/>
        <v>312.66142071537661</v>
      </c>
      <c r="L16" s="706">
        <f t="shared" si="0"/>
        <v>0</v>
      </c>
      <c r="M16" s="706">
        <f t="shared" ca="1" si="0"/>
        <v>0</v>
      </c>
      <c r="N16" s="706">
        <f t="shared" si="0"/>
        <v>0</v>
      </c>
      <c r="O16" s="706">
        <f t="shared" ca="1" si="0"/>
        <v>8281.0706057329444</v>
      </c>
      <c r="P16" s="706">
        <f t="shared" si="0"/>
        <v>136.01</v>
      </c>
      <c r="Q16" s="706">
        <f t="shared" si="0"/>
        <v>991.4666666666667</v>
      </c>
      <c r="R16" s="706">
        <f t="shared" ca="1" si="0"/>
        <v>125281.99177420267</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1882.730189010573</v>
      </c>
      <c r="I19" s="978">
        <f>transport!H54</f>
        <v>0</v>
      </c>
      <c r="J19" s="978">
        <f>transport!I54</f>
        <v>0</v>
      </c>
      <c r="K19" s="978">
        <f>transport!J54</f>
        <v>0</v>
      </c>
      <c r="L19" s="978">
        <f>transport!K54</f>
        <v>0</v>
      </c>
      <c r="M19" s="978">
        <f>transport!L54</f>
        <v>0</v>
      </c>
      <c r="N19" s="978">
        <f>transport!M54</f>
        <v>58.324358659552949</v>
      </c>
      <c r="O19" s="978">
        <f>transport!N54</f>
        <v>0</v>
      </c>
      <c r="P19" s="978">
        <f>transport!O54</f>
        <v>0</v>
      </c>
      <c r="Q19" s="979">
        <f>transport!P54</f>
        <v>0</v>
      </c>
      <c r="R19" s="674">
        <f>SUM(C19:Q19)</f>
        <v>1941.0545476701259</v>
      </c>
      <c r="S19" s="67"/>
    </row>
    <row r="20" spans="1:19" s="447" customFormat="1">
      <c r="A20" s="783" t="s">
        <v>306</v>
      </c>
      <c r="B20" s="788"/>
      <c r="C20" s="978">
        <f>transport!B14</f>
        <v>10.170185641078179</v>
      </c>
      <c r="D20" s="978">
        <f>transport!C14</f>
        <v>0</v>
      </c>
      <c r="E20" s="978">
        <f>transport!D14</f>
        <v>23.65257892875951</v>
      </c>
      <c r="F20" s="978">
        <f>transport!E14</f>
        <v>103.88446856316914</v>
      </c>
      <c r="G20" s="978">
        <f>transport!F14</f>
        <v>0</v>
      </c>
      <c r="H20" s="978">
        <f>transport!G14</f>
        <v>40989.053673751041</v>
      </c>
      <c r="I20" s="978">
        <f>transport!H14</f>
        <v>7996.2436199686563</v>
      </c>
      <c r="J20" s="978">
        <f>transport!I14</f>
        <v>0</v>
      </c>
      <c r="K20" s="978">
        <f>transport!J14</f>
        <v>0</v>
      </c>
      <c r="L20" s="978">
        <f>transport!K14</f>
        <v>0</v>
      </c>
      <c r="M20" s="978">
        <f>transport!L14</f>
        <v>0</v>
      </c>
      <c r="N20" s="978">
        <f>transport!M14</f>
        <v>1529.1606967259406</v>
      </c>
      <c r="O20" s="978">
        <f>transport!N14</f>
        <v>0</v>
      </c>
      <c r="P20" s="978">
        <f>transport!O14</f>
        <v>0</v>
      </c>
      <c r="Q20" s="979">
        <f>transport!P14</f>
        <v>0</v>
      </c>
      <c r="R20" s="674">
        <f>SUM(C20:Q20)</f>
        <v>50652.165223578646</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10.170185641078179</v>
      </c>
      <c r="D22" s="786">
        <f t="shared" ref="D22:R22" si="1">SUM(D18:D21)</f>
        <v>0</v>
      </c>
      <c r="E22" s="786">
        <f t="shared" si="1"/>
        <v>23.65257892875951</v>
      </c>
      <c r="F22" s="786">
        <f t="shared" si="1"/>
        <v>103.88446856316914</v>
      </c>
      <c r="G22" s="786">
        <f t="shared" si="1"/>
        <v>0</v>
      </c>
      <c r="H22" s="786">
        <f t="shared" si="1"/>
        <v>42871.783862761615</v>
      </c>
      <c r="I22" s="786">
        <f t="shared" si="1"/>
        <v>7996.2436199686563</v>
      </c>
      <c r="J22" s="786">
        <f t="shared" si="1"/>
        <v>0</v>
      </c>
      <c r="K22" s="786">
        <f t="shared" si="1"/>
        <v>0</v>
      </c>
      <c r="L22" s="786">
        <f t="shared" si="1"/>
        <v>0</v>
      </c>
      <c r="M22" s="786">
        <f t="shared" si="1"/>
        <v>0</v>
      </c>
      <c r="N22" s="786">
        <f t="shared" si="1"/>
        <v>1587.4850553854935</v>
      </c>
      <c r="O22" s="786">
        <f t="shared" si="1"/>
        <v>0</v>
      </c>
      <c r="P22" s="786">
        <f t="shared" si="1"/>
        <v>0</v>
      </c>
      <c r="Q22" s="786">
        <f t="shared" si="1"/>
        <v>0</v>
      </c>
      <c r="R22" s="786">
        <f t="shared" si="1"/>
        <v>52593.219771248769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439.31707176000003</v>
      </c>
      <c r="D24" s="978">
        <f>+landbouw!C8</f>
        <v>0</v>
      </c>
      <c r="E24" s="978">
        <f>+landbouw!D8</f>
        <v>215.00270044743598</v>
      </c>
      <c r="F24" s="978">
        <f>+landbouw!E8</f>
        <v>11.328300498151794</v>
      </c>
      <c r="G24" s="978">
        <f>+landbouw!F8</f>
        <v>1605.787561154965</v>
      </c>
      <c r="H24" s="978">
        <f>+landbouw!G8</f>
        <v>0</v>
      </c>
      <c r="I24" s="978">
        <f>+landbouw!H8</f>
        <v>0</v>
      </c>
      <c r="J24" s="978">
        <f>+landbouw!I8</f>
        <v>0</v>
      </c>
      <c r="K24" s="978">
        <f>+landbouw!J8</f>
        <v>63.245497326974373</v>
      </c>
      <c r="L24" s="978">
        <f>+landbouw!K8</f>
        <v>0</v>
      </c>
      <c r="M24" s="978">
        <f>+landbouw!L8</f>
        <v>0</v>
      </c>
      <c r="N24" s="978">
        <f>+landbouw!M8</f>
        <v>0</v>
      </c>
      <c r="O24" s="978">
        <f>+landbouw!N8</f>
        <v>0</v>
      </c>
      <c r="P24" s="978">
        <f>+landbouw!O8</f>
        <v>0</v>
      </c>
      <c r="Q24" s="979">
        <f>+landbouw!P8</f>
        <v>0</v>
      </c>
      <c r="R24" s="674">
        <f>SUM(C24:Q24)</f>
        <v>2334.6811311875272</v>
      </c>
      <c r="S24" s="67"/>
    </row>
    <row r="25" spans="1:19" s="447" customFormat="1" ht="15" thickBot="1">
      <c r="A25" s="805" t="s">
        <v>834</v>
      </c>
      <c r="B25" s="981"/>
      <c r="C25" s="982">
        <f>IF(Onbekend_ele_kWh="---",0,Onbekend_ele_kWh)/1000+IF(REST_rest_ele_kWh="---",0,REST_rest_ele_kWh)/1000</f>
        <v>584.60830426999996</v>
      </c>
      <c r="D25" s="982"/>
      <c r="E25" s="982">
        <f>IF(onbekend_gas_kWh="---",0,onbekend_gas_kWh)/1000+IF(REST_rest_gas_kWh="---",0,REST_rest_gas_kWh)/1000</f>
        <v>1248.9137837000001</v>
      </c>
      <c r="F25" s="982"/>
      <c r="G25" s="982"/>
      <c r="H25" s="982"/>
      <c r="I25" s="982"/>
      <c r="J25" s="982"/>
      <c r="K25" s="982"/>
      <c r="L25" s="982"/>
      <c r="M25" s="982"/>
      <c r="N25" s="982"/>
      <c r="O25" s="982"/>
      <c r="P25" s="982"/>
      <c r="Q25" s="983"/>
      <c r="R25" s="674">
        <f>SUM(C25:Q25)</f>
        <v>1833.52208797</v>
      </c>
      <c r="S25" s="67"/>
    </row>
    <row r="26" spans="1:19" s="447" customFormat="1" ht="15.75" thickBot="1">
      <c r="A26" s="679" t="s">
        <v>835</v>
      </c>
      <c r="B26" s="791"/>
      <c r="C26" s="786">
        <f>SUM(C24:C25)</f>
        <v>1023.9253760300001</v>
      </c>
      <c r="D26" s="786">
        <f t="shared" ref="D26:R26" si="2">SUM(D24:D25)</f>
        <v>0</v>
      </c>
      <c r="E26" s="786">
        <f t="shared" si="2"/>
        <v>1463.916484147436</v>
      </c>
      <c r="F26" s="786">
        <f t="shared" si="2"/>
        <v>11.328300498151794</v>
      </c>
      <c r="G26" s="786">
        <f t="shared" si="2"/>
        <v>1605.787561154965</v>
      </c>
      <c r="H26" s="786">
        <f t="shared" si="2"/>
        <v>0</v>
      </c>
      <c r="I26" s="786">
        <f t="shared" si="2"/>
        <v>0</v>
      </c>
      <c r="J26" s="786">
        <f t="shared" si="2"/>
        <v>0</v>
      </c>
      <c r="K26" s="786">
        <f t="shared" si="2"/>
        <v>63.245497326974373</v>
      </c>
      <c r="L26" s="786">
        <f t="shared" si="2"/>
        <v>0</v>
      </c>
      <c r="M26" s="786">
        <f t="shared" si="2"/>
        <v>0</v>
      </c>
      <c r="N26" s="786">
        <f t="shared" si="2"/>
        <v>0</v>
      </c>
      <c r="O26" s="786">
        <f t="shared" si="2"/>
        <v>0</v>
      </c>
      <c r="P26" s="786">
        <f t="shared" si="2"/>
        <v>0</v>
      </c>
      <c r="Q26" s="786">
        <f t="shared" si="2"/>
        <v>0</v>
      </c>
      <c r="R26" s="786">
        <f t="shared" si="2"/>
        <v>4168.2032191575272</v>
      </c>
      <c r="S26" s="67"/>
    </row>
    <row r="27" spans="1:19" s="447" customFormat="1" ht="17.25" thickTop="1" thickBot="1">
      <c r="A27" s="680" t="s">
        <v>115</v>
      </c>
      <c r="B27" s="779"/>
      <c r="C27" s="681">
        <f ca="1">C22+C16+C26</f>
        <v>33341.853061752925</v>
      </c>
      <c r="D27" s="681">
        <f t="shared" ref="D27:R27" ca="1" si="3">D22+D16+D26</f>
        <v>0</v>
      </c>
      <c r="E27" s="681">
        <f t="shared" ca="1" si="3"/>
        <v>45879.017918263256</v>
      </c>
      <c r="F27" s="681">
        <f t="shared" si="3"/>
        <v>13477.522344026738</v>
      </c>
      <c r="G27" s="681">
        <f t="shared" ca="1" si="3"/>
        <v>27105.05471200835</v>
      </c>
      <c r="H27" s="681">
        <f t="shared" si="3"/>
        <v>42871.783862761615</v>
      </c>
      <c r="I27" s="681">
        <f t="shared" si="3"/>
        <v>7996.2436199686563</v>
      </c>
      <c r="J27" s="681">
        <f t="shared" si="3"/>
        <v>0</v>
      </c>
      <c r="K27" s="681">
        <f t="shared" si="3"/>
        <v>375.90691804235098</v>
      </c>
      <c r="L27" s="681">
        <f t="shared" si="3"/>
        <v>0</v>
      </c>
      <c r="M27" s="681">
        <f t="shared" ca="1" si="3"/>
        <v>0</v>
      </c>
      <c r="N27" s="681">
        <f t="shared" si="3"/>
        <v>1587.4850553854935</v>
      </c>
      <c r="O27" s="681">
        <f t="shared" ca="1" si="3"/>
        <v>8281.0706057329444</v>
      </c>
      <c r="P27" s="681">
        <f t="shared" si="3"/>
        <v>136.01</v>
      </c>
      <c r="Q27" s="681">
        <f t="shared" si="3"/>
        <v>991.4666666666667</v>
      </c>
      <c r="R27" s="681">
        <f t="shared" ca="1" si="3"/>
        <v>182043.41476460896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1394.4423351066312</v>
      </c>
      <c r="D40" s="978">
        <f ca="1">tertiair!C20</f>
        <v>0</v>
      </c>
      <c r="E40" s="978">
        <f ca="1">tertiair!D20</f>
        <v>1781.8047679922602</v>
      </c>
      <c r="F40" s="978">
        <f>tertiair!E20</f>
        <v>25.519436963090364</v>
      </c>
      <c r="G40" s="978">
        <f ca="1">tertiair!F20</f>
        <v>429.43329475913856</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3631.19983482112</v>
      </c>
    </row>
    <row r="41" spans="1:18">
      <c r="A41" s="796" t="s">
        <v>224</v>
      </c>
      <c r="B41" s="803"/>
      <c r="C41" s="978">
        <f ca="1">huishoudens!B12</f>
        <v>4317.8796247531182</v>
      </c>
      <c r="D41" s="978">
        <f ca="1">huishoudens!C12</f>
        <v>0</v>
      </c>
      <c r="E41" s="978">
        <f>huishoudens!D12</f>
        <v>7020.264323304672</v>
      </c>
      <c r="F41" s="978">
        <f>huishoudens!E12</f>
        <v>2935.0178656517687</v>
      </c>
      <c r="G41" s="978">
        <f>huishoudens!F12</f>
        <v>6043.3528638037405</v>
      </c>
      <c r="H41" s="978">
        <f>huishoudens!G12</f>
        <v>0</v>
      </c>
      <c r="I41" s="978">
        <f>huishoudens!H12</f>
        <v>0</v>
      </c>
      <c r="J41" s="978">
        <f>huishoudens!I12</f>
        <v>0</v>
      </c>
      <c r="K41" s="978">
        <f>huishoudens!J12</f>
        <v>98.941972069845036</v>
      </c>
      <c r="L41" s="978">
        <f>huishoudens!K12</f>
        <v>0</v>
      </c>
      <c r="M41" s="978">
        <f>huishoudens!L12</f>
        <v>0</v>
      </c>
      <c r="N41" s="978">
        <f>huishoudens!M12</f>
        <v>0</v>
      </c>
      <c r="O41" s="978">
        <f>huishoudens!N12</f>
        <v>0</v>
      </c>
      <c r="P41" s="978">
        <f>huishoudens!O12</f>
        <v>0</v>
      </c>
      <c r="Q41" s="748">
        <f>huishoudens!P12</f>
        <v>0</v>
      </c>
      <c r="R41" s="824">
        <f t="shared" ca="1" si="4"/>
        <v>20415.456649583146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956.20120818583234</v>
      </c>
      <c r="D43" s="978">
        <f ca="1">industrie!C22</f>
        <v>0</v>
      </c>
      <c r="E43" s="978">
        <f>industrie!D22</f>
        <v>165.00357745085412</v>
      </c>
      <c r="F43" s="978">
        <f>industrie!E22</f>
        <v>72.70697090229082</v>
      </c>
      <c r="G43" s="978">
        <f>industrie!F22</f>
        <v>335.51817071497516</v>
      </c>
      <c r="H43" s="978">
        <f>industrie!G22</f>
        <v>0</v>
      </c>
      <c r="I43" s="978">
        <f>industrie!H22</f>
        <v>0</v>
      </c>
      <c r="J43" s="978">
        <f>industrie!I22</f>
        <v>0</v>
      </c>
      <c r="K43" s="978">
        <f>industrie!J22</f>
        <v>11.740170863398273</v>
      </c>
      <c r="L43" s="978">
        <f>industrie!K22</f>
        <v>0</v>
      </c>
      <c r="M43" s="978">
        <f>industrie!L22</f>
        <v>0</v>
      </c>
      <c r="N43" s="978">
        <f>industrie!M22</f>
        <v>0</v>
      </c>
      <c r="O43" s="978">
        <f>industrie!N22</f>
        <v>0</v>
      </c>
      <c r="P43" s="978">
        <f>industrie!O22</f>
        <v>0</v>
      </c>
      <c r="Q43" s="748">
        <f>industrie!P22</f>
        <v>0</v>
      </c>
      <c r="R43" s="823">
        <f t="shared" ca="1" si="4"/>
        <v>1541.1700981173508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6668.5231680455818</v>
      </c>
      <c r="D46" s="706">
        <f t="shared" ref="D46:Q46" ca="1" si="5">SUM(D39:D45)</f>
        <v>0</v>
      </c>
      <c r="E46" s="706">
        <f t="shared" ca="1" si="5"/>
        <v>8967.0726687477872</v>
      </c>
      <c r="F46" s="706">
        <f t="shared" si="5"/>
        <v>3033.2442735171498</v>
      </c>
      <c r="G46" s="706">
        <f t="shared" ca="1" si="5"/>
        <v>6808.3043292778539</v>
      </c>
      <c r="H46" s="706">
        <f t="shared" si="5"/>
        <v>0</v>
      </c>
      <c r="I46" s="706">
        <f t="shared" si="5"/>
        <v>0</v>
      </c>
      <c r="J46" s="706">
        <f t="shared" si="5"/>
        <v>0</v>
      </c>
      <c r="K46" s="706">
        <f t="shared" si="5"/>
        <v>110.68214293324331</v>
      </c>
      <c r="L46" s="706">
        <f t="shared" si="5"/>
        <v>0</v>
      </c>
      <c r="M46" s="706">
        <f t="shared" ca="1" si="5"/>
        <v>0</v>
      </c>
      <c r="N46" s="706">
        <f t="shared" si="5"/>
        <v>0</v>
      </c>
      <c r="O46" s="706">
        <f t="shared" ca="1" si="5"/>
        <v>0</v>
      </c>
      <c r="P46" s="706">
        <f t="shared" si="5"/>
        <v>0</v>
      </c>
      <c r="Q46" s="706">
        <f t="shared" si="5"/>
        <v>0</v>
      </c>
      <c r="R46" s="706">
        <f ca="1">SUM(R39:R45)</f>
        <v>25587.826582521615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502.68896046582302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502.68896046582302</v>
      </c>
    </row>
    <row r="50" spans="1:18">
      <c r="A50" s="799" t="s">
        <v>306</v>
      </c>
      <c r="B50" s="809"/>
      <c r="C50" s="677">
        <f ca="1">transport!B18</f>
        <v>2.0991899103700571</v>
      </c>
      <c r="D50" s="677">
        <f>transport!C18</f>
        <v>0</v>
      </c>
      <c r="E50" s="677">
        <f>transport!D18</f>
        <v>4.777820943609421</v>
      </c>
      <c r="F50" s="677">
        <f>transport!E18</f>
        <v>23.581774363839394</v>
      </c>
      <c r="G50" s="677">
        <f>transport!F18</f>
        <v>0</v>
      </c>
      <c r="H50" s="677">
        <f>transport!G18</f>
        <v>10944.077330891529</v>
      </c>
      <c r="I50" s="677">
        <f>transport!H18</f>
        <v>1991.0646613721954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12965.600777481543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2.0991899103700571</v>
      </c>
      <c r="D52" s="706">
        <f t="shared" ref="D52:Q52" ca="1" si="6">SUM(D48:D51)</f>
        <v>0</v>
      </c>
      <c r="E52" s="706">
        <f t="shared" si="6"/>
        <v>4.777820943609421</v>
      </c>
      <c r="F52" s="706">
        <f t="shared" si="6"/>
        <v>23.581774363839394</v>
      </c>
      <c r="G52" s="706">
        <f t="shared" si="6"/>
        <v>0</v>
      </c>
      <c r="H52" s="706">
        <f t="shared" si="6"/>
        <v>11446.766291357351</v>
      </c>
      <c r="I52" s="706">
        <f t="shared" si="6"/>
        <v>1991.0646613721954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13468.289737947365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90.677790655760688</v>
      </c>
      <c r="D54" s="677">
        <f ca="1">+landbouw!C12</f>
        <v>0</v>
      </c>
      <c r="E54" s="677">
        <f>+landbouw!D12</f>
        <v>43.430545490382073</v>
      </c>
      <c r="F54" s="677">
        <f>+landbouw!E12</f>
        <v>2.5715242130804574</v>
      </c>
      <c r="G54" s="677">
        <f>+landbouw!F12</f>
        <v>428.74527882837566</v>
      </c>
      <c r="H54" s="677">
        <f>+landbouw!G12</f>
        <v>0</v>
      </c>
      <c r="I54" s="677">
        <f>+landbouw!H12</f>
        <v>0</v>
      </c>
      <c r="J54" s="677">
        <f>+landbouw!I12</f>
        <v>0</v>
      </c>
      <c r="K54" s="677">
        <f>+landbouw!J12</f>
        <v>22.388906053748926</v>
      </c>
      <c r="L54" s="677">
        <f>+landbouw!K12</f>
        <v>0</v>
      </c>
      <c r="M54" s="677">
        <f>+landbouw!L12</f>
        <v>0</v>
      </c>
      <c r="N54" s="677">
        <f>+landbouw!M12</f>
        <v>0</v>
      </c>
      <c r="O54" s="677">
        <f>+landbouw!N12</f>
        <v>0</v>
      </c>
      <c r="P54" s="677">
        <f>+landbouw!O12</f>
        <v>0</v>
      </c>
      <c r="Q54" s="678">
        <f>+landbouw!P12</f>
        <v>0</v>
      </c>
      <c r="R54" s="705">
        <f ca="1">SUM(C54:Q54)</f>
        <v>587.8140452413478</v>
      </c>
    </row>
    <row r="55" spans="1:18" ht="15" thickBot="1">
      <c r="A55" s="799" t="s">
        <v>834</v>
      </c>
      <c r="B55" s="809"/>
      <c r="C55" s="677">
        <f ca="1">C25*'EF ele_warmte'!B12</f>
        <v>120.66680955019733</v>
      </c>
      <c r="D55" s="677"/>
      <c r="E55" s="677">
        <f>E25*EF_CO2_aardgas</f>
        <v>252.28058430740003</v>
      </c>
      <c r="F55" s="677"/>
      <c r="G55" s="677"/>
      <c r="H55" s="677"/>
      <c r="I55" s="677"/>
      <c r="J55" s="677"/>
      <c r="K55" s="677"/>
      <c r="L55" s="677"/>
      <c r="M55" s="677"/>
      <c r="N55" s="677"/>
      <c r="O55" s="677"/>
      <c r="P55" s="677"/>
      <c r="Q55" s="678"/>
      <c r="R55" s="705">
        <f ca="1">SUM(C55:Q55)</f>
        <v>372.94739385759738</v>
      </c>
    </row>
    <row r="56" spans="1:18" ht="15.75" thickBot="1">
      <c r="A56" s="797" t="s">
        <v>835</v>
      </c>
      <c r="B56" s="810"/>
      <c r="C56" s="706">
        <f ca="1">SUM(C54:C55)</f>
        <v>211.34460020595802</v>
      </c>
      <c r="D56" s="706">
        <f t="shared" ref="D56:Q56" ca="1" si="7">SUM(D54:D55)</f>
        <v>0</v>
      </c>
      <c r="E56" s="706">
        <f t="shared" si="7"/>
        <v>295.71112979778212</v>
      </c>
      <c r="F56" s="706">
        <f t="shared" si="7"/>
        <v>2.5715242130804574</v>
      </c>
      <c r="G56" s="706">
        <f t="shared" si="7"/>
        <v>428.74527882837566</v>
      </c>
      <c r="H56" s="706">
        <f t="shared" si="7"/>
        <v>0</v>
      </c>
      <c r="I56" s="706">
        <f t="shared" si="7"/>
        <v>0</v>
      </c>
      <c r="J56" s="706">
        <f t="shared" si="7"/>
        <v>0</v>
      </c>
      <c r="K56" s="706">
        <f t="shared" si="7"/>
        <v>22.388906053748926</v>
      </c>
      <c r="L56" s="706">
        <f t="shared" si="7"/>
        <v>0</v>
      </c>
      <c r="M56" s="706">
        <f t="shared" si="7"/>
        <v>0</v>
      </c>
      <c r="N56" s="706">
        <f t="shared" si="7"/>
        <v>0</v>
      </c>
      <c r="O56" s="706">
        <f t="shared" si="7"/>
        <v>0</v>
      </c>
      <c r="P56" s="706">
        <f t="shared" si="7"/>
        <v>0</v>
      </c>
      <c r="Q56" s="707">
        <f t="shared" si="7"/>
        <v>0</v>
      </c>
      <c r="R56" s="708">
        <f ca="1">SUM(R54:R55)</f>
        <v>960.76143909894517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6881.96695816191</v>
      </c>
      <c r="D61" s="714">
        <f t="shared" ref="D61:Q61" ca="1" si="8">D46+D52+D56</f>
        <v>0</v>
      </c>
      <c r="E61" s="714">
        <f t="shared" ca="1" si="8"/>
        <v>9267.5616194891791</v>
      </c>
      <c r="F61" s="714">
        <f t="shared" si="8"/>
        <v>3059.3975720940698</v>
      </c>
      <c r="G61" s="714">
        <f t="shared" ca="1" si="8"/>
        <v>7237.0496081062292</v>
      </c>
      <c r="H61" s="714">
        <f t="shared" si="8"/>
        <v>11446.766291357351</v>
      </c>
      <c r="I61" s="714">
        <f t="shared" si="8"/>
        <v>1991.0646613721954</v>
      </c>
      <c r="J61" s="714">
        <f t="shared" si="8"/>
        <v>0</v>
      </c>
      <c r="K61" s="714">
        <f t="shared" si="8"/>
        <v>133.07104898699225</v>
      </c>
      <c r="L61" s="714">
        <f t="shared" si="8"/>
        <v>0</v>
      </c>
      <c r="M61" s="714">
        <f t="shared" ca="1" si="8"/>
        <v>0</v>
      </c>
      <c r="N61" s="714">
        <f t="shared" si="8"/>
        <v>0</v>
      </c>
      <c r="O61" s="714">
        <f t="shared" ca="1" si="8"/>
        <v>0</v>
      </c>
      <c r="P61" s="714">
        <f t="shared" si="8"/>
        <v>0</v>
      </c>
      <c r="Q61" s="714">
        <f t="shared" si="8"/>
        <v>0</v>
      </c>
      <c r="R61" s="714">
        <f ca="1">R46+R52+R56</f>
        <v>40016.877759567928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0.20640625298827034</v>
      </c>
      <c r="D63" s="755">
        <f t="shared" ca="1" si="9"/>
        <v>0</v>
      </c>
      <c r="E63" s="989">
        <f t="shared" ca="1" si="9"/>
        <v>0.20200000000000004</v>
      </c>
      <c r="F63" s="755">
        <f t="shared" si="9"/>
        <v>0.22700000000000001</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2201.7310791198452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2201.7310791198452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2201.7310791198452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2201.7310791198452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20919.325661119845</v>
      </c>
      <c r="C4" s="451">
        <f>huishoudens!C8</f>
        <v>0</v>
      </c>
      <c r="D4" s="451">
        <f>huishoudens!D8</f>
        <v>34753.783778735997</v>
      </c>
      <c r="E4" s="451">
        <f>huishoudens!E8</f>
        <v>12929.59412181396</v>
      </c>
      <c r="F4" s="451">
        <f>huishoudens!F8</f>
        <v>22634.280388778054</v>
      </c>
      <c r="G4" s="451">
        <f>huishoudens!G8</f>
        <v>0</v>
      </c>
      <c r="H4" s="451">
        <f>huishoudens!H8</f>
        <v>0</v>
      </c>
      <c r="I4" s="451">
        <f>huishoudens!I8</f>
        <v>0</v>
      </c>
      <c r="J4" s="451">
        <f>huishoudens!J8</f>
        <v>279.49709624250011</v>
      </c>
      <c r="K4" s="451">
        <f>huishoudens!K8</f>
        <v>0</v>
      </c>
      <c r="L4" s="451">
        <f>huishoudens!L8</f>
        <v>0</v>
      </c>
      <c r="M4" s="451">
        <f>huishoudens!M8</f>
        <v>0</v>
      </c>
      <c r="N4" s="451">
        <f>huishoudens!N8</f>
        <v>7398.6062604454191</v>
      </c>
      <c r="O4" s="451">
        <f>huishoudens!O8</f>
        <v>134.44666666666666</v>
      </c>
      <c r="P4" s="452">
        <f>huishoudens!P8</f>
        <v>972.4</v>
      </c>
      <c r="Q4" s="453">
        <f>SUM(B4:P4)</f>
        <v>100021.93397380243</v>
      </c>
    </row>
    <row r="5" spans="1:17">
      <c r="A5" s="450" t="s">
        <v>155</v>
      </c>
      <c r="B5" s="451">
        <f ca="1">tertiair!B16</f>
        <v>6140.3323947600002</v>
      </c>
      <c r="C5" s="451">
        <f ca="1">tertiair!C16</f>
        <v>0</v>
      </c>
      <c r="D5" s="451">
        <f ca="1">tertiair!D16</f>
        <v>8820.8156831300003</v>
      </c>
      <c r="E5" s="451">
        <f>tertiair!E16</f>
        <v>112.42042715017782</v>
      </c>
      <c r="F5" s="451">
        <f ca="1">tertiair!F16</f>
        <v>1608.3643998469609</v>
      </c>
      <c r="G5" s="451">
        <f>tertiair!G16</f>
        <v>0</v>
      </c>
      <c r="H5" s="451">
        <f>tertiair!H16</f>
        <v>0</v>
      </c>
      <c r="I5" s="451">
        <f>tertiair!I16</f>
        <v>0</v>
      </c>
      <c r="J5" s="451">
        <f>tertiair!J16</f>
        <v>0</v>
      </c>
      <c r="K5" s="451">
        <f>tertiair!K16</f>
        <v>0</v>
      </c>
      <c r="L5" s="451">
        <f ca="1">tertiair!L16</f>
        <v>0</v>
      </c>
      <c r="M5" s="451">
        <f>tertiair!M16</f>
        <v>0</v>
      </c>
      <c r="N5" s="451">
        <f ca="1">tertiair!N16</f>
        <v>574.08539369980838</v>
      </c>
      <c r="O5" s="451">
        <f>tertiair!O16</f>
        <v>1.5633333333333335</v>
      </c>
      <c r="P5" s="452">
        <f>tertiair!P16</f>
        <v>19.066666666666666</v>
      </c>
      <c r="Q5" s="450">
        <f t="shared" ref="Q5:Q14" ca="1" si="0">SUM(B5:P5)</f>
        <v>17276.648298586948</v>
      </c>
    </row>
    <row r="6" spans="1:17">
      <c r="A6" s="450" t="s">
        <v>193</v>
      </c>
      <c r="B6" s="451">
        <f>'openbare verlichting'!B8</f>
        <v>615.48199999999997</v>
      </c>
      <c r="C6" s="451"/>
      <c r="D6" s="451"/>
      <c r="E6" s="451"/>
      <c r="F6" s="451"/>
      <c r="G6" s="451"/>
      <c r="H6" s="451"/>
      <c r="I6" s="451"/>
      <c r="J6" s="451"/>
      <c r="K6" s="451"/>
      <c r="L6" s="451"/>
      <c r="M6" s="451"/>
      <c r="N6" s="451"/>
      <c r="O6" s="451"/>
      <c r="P6" s="452"/>
      <c r="Q6" s="450">
        <f t="shared" si="0"/>
        <v>615.48199999999997</v>
      </c>
    </row>
    <row r="7" spans="1:17">
      <c r="A7" s="450" t="s">
        <v>111</v>
      </c>
      <c r="B7" s="451">
        <f>landbouw!B8</f>
        <v>439.31707176000003</v>
      </c>
      <c r="C7" s="451">
        <f>landbouw!C8</f>
        <v>0</v>
      </c>
      <c r="D7" s="451">
        <f>landbouw!D8</f>
        <v>215.00270044743598</v>
      </c>
      <c r="E7" s="451">
        <f>landbouw!E8</f>
        <v>11.328300498151794</v>
      </c>
      <c r="F7" s="451">
        <f>landbouw!F8</f>
        <v>1605.787561154965</v>
      </c>
      <c r="G7" s="451">
        <f>landbouw!G8</f>
        <v>0</v>
      </c>
      <c r="H7" s="451">
        <f>landbouw!H8</f>
        <v>0</v>
      </c>
      <c r="I7" s="451">
        <f>landbouw!I8</f>
        <v>0</v>
      </c>
      <c r="J7" s="451">
        <f>landbouw!J8</f>
        <v>63.245497326974373</v>
      </c>
      <c r="K7" s="451">
        <f>landbouw!K8</f>
        <v>0</v>
      </c>
      <c r="L7" s="451">
        <f>landbouw!L8</f>
        <v>0</v>
      </c>
      <c r="M7" s="451">
        <f>landbouw!M8</f>
        <v>0</v>
      </c>
      <c r="N7" s="451">
        <f>landbouw!N8</f>
        <v>0</v>
      </c>
      <c r="O7" s="451">
        <f>landbouw!O8</f>
        <v>0</v>
      </c>
      <c r="P7" s="452">
        <f>landbouw!P8</f>
        <v>0</v>
      </c>
      <c r="Q7" s="450">
        <f t="shared" si="0"/>
        <v>2334.6811311875272</v>
      </c>
    </row>
    <row r="8" spans="1:17">
      <c r="A8" s="450" t="s">
        <v>637</v>
      </c>
      <c r="B8" s="451">
        <f>industrie!B18</f>
        <v>4632.6174442020001</v>
      </c>
      <c r="C8" s="451">
        <f>industrie!C18</f>
        <v>0</v>
      </c>
      <c r="D8" s="451">
        <f>industrie!D18</f>
        <v>816.84939332106001</v>
      </c>
      <c r="E8" s="451">
        <f>industrie!E18</f>
        <v>320.29502600128114</v>
      </c>
      <c r="F8" s="451">
        <f>industrie!F18</f>
        <v>1256.6223622283712</v>
      </c>
      <c r="G8" s="451">
        <f>industrie!G18</f>
        <v>0</v>
      </c>
      <c r="H8" s="451">
        <f>industrie!H18</f>
        <v>0</v>
      </c>
      <c r="I8" s="451">
        <f>industrie!I18</f>
        <v>0</v>
      </c>
      <c r="J8" s="451">
        <f>industrie!J18</f>
        <v>33.16432447287648</v>
      </c>
      <c r="K8" s="451">
        <f>industrie!K18</f>
        <v>0</v>
      </c>
      <c r="L8" s="451">
        <f>industrie!L18</f>
        <v>0</v>
      </c>
      <c r="M8" s="451">
        <f>industrie!M18</f>
        <v>0</v>
      </c>
      <c r="N8" s="451">
        <f>industrie!N18</f>
        <v>308.37895158771727</v>
      </c>
      <c r="O8" s="451">
        <f>industrie!O18</f>
        <v>0</v>
      </c>
      <c r="P8" s="452">
        <f>industrie!P18</f>
        <v>0</v>
      </c>
      <c r="Q8" s="450">
        <f t="shared" si="0"/>
        <v>7367.9275018133067</v>
      </c>
    </row>
    <row r="9" spans="1:17" s="456" customFormat="1">
      <c r="A9" s="454" t="s">
        <v>563</v>
      </c>
      <c r="B9" s="455">
        <f>transport!B14</f>
        <v>10.170185641078179</v>
      </c>
      <c r="C9" s="455">
        <f>transport!C14</f>
        <v>0</v>
      </c>
      <c r="D9" s="455">
        <f>transport!D14</f>
        <v>23.65257892875951</v>
      </c>
      <c r="E9" s="455">
        <f>transport!E14</f>
        <v>103.88446856316914</v>
      </c>
      <c r="F9" s="455">
        <f>transport!F14</f>
        <v>0</v>
      </c>
      <c r="G9" s="455">
        <f>transport!G14</f>
        <v>40989.053673751041</v>
      </c>
      <c r="H9" s="455">
        <f>transport!H14</f>
        <v>7996.2436199686563</v>
      </c>
      <c r="I9" s="455">
        <f>transport!I14</f>
        <v>0</v>
      </c>
      <c r="J9" s="455">
        <f>transport!J14</f>
        <v>0</v>
      </c>
      <c r="K9" s="455">
        <f>transport!K14</f>
        <v>0</v>
      </c>
      <c r="L9" s="455">
        <f>transport!L14</f>
        <v>0</v>
      </c>
      <c r="M9" s="455">
        <f>transport!M14</f>
        <v>1529.1606967259406</v>
      </c>
      <c r="N9" s="455">
        <f>transport!N14</f>
        <v>0</v>
      </c>
      <c r="O9" s="455">
        <f>transport!O14</f>
        <v>0</v>
      </c>
      <c r="P9" s="455">
        <f>transport!P14</f>
        <v>0</v>
      </c>
      <c r="Q9" s="454">
        <f>SUM(B9:P9)</f>
        <v>50652.165223578646</v>
      </c>
    </row>
    <row r="10" spans="1:17">
      <c r="A10" s="450" t="s">
        <v>553</v>
      </c>
      <c r="B10" s="451">
        <f>transport!B54</f>
        <v>0</v>
      </c>
      <c r="C10" s="451">
        <f>transport!C54</f>
        <v>0</v>
      </c>
      <c r="D10" s="451">
        <f>transport!D54</f>
        <v>0</v>
      </c>
      <c r="E10" s="451">
        <f>transport!E54</f>
        <v>0</v>
      </c>
      <c r="F10" s="451">
        <f>transport!F54</f>
        <v>0</v>
      </c>
      <c r="G10" s="451">
        <f>transport!G54</f>
        <v>1882.730189010573</v>
      </c>
      <c r="H10" s="451">
        <f>transport!H54</f>
        <v>0</v>
      </c>
      <c r="I10" s="451">
        <f>transport!I54</f>
        <v>0</v>
      </c>
      <c r="J10" s="451">
        <f>transport!J54</f>
        <v>0</v>
      </c>
      <c r="K10" s="451">
        <f>transport!K54</f>
        <v>0</v>
      </c>
      <c r="L10" s="451">
        <f>transport!L54</f>
        <v>0</v>
      </c>
      <c r="M10" s="451">
        <f>transport!M54</f>
        <v>58.324358659552949</v>
      </c>
      <c r="N10" s="451">
        <f>transport!N54</f>
        <v>0</v>
      </c>
      <c r="O10" s="451">
        <f>transport!O54</f>
        <v>0</v>
      </c>
      <c r="P10" s="452">
        <f>transport!P54</f>
        <v>0</v>
      </c>
      <c r="Q10" s="450">
        <f t="shared" si="0"/>
        <v>1941.0545476701259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584.60830426999996</v>
      </c>
      <c r="C14" s="458"/>
      <c r="D14" s="458">
        <f>'SEAP template'!E25</f>
        <v>1248.9137837000001</v>
      </c>
      <c r="E14" s="458"/>
      <c r="F14" s="458"/>
      <c r="G14" s="458"/>
      <c r="H14" s="458"/>
      <c r="I14" s="458"/>
      <c r="J14" s="458"/>
      <c r="K14" s="458"/>
      <c r="L14" s="458"/>
      <c r="M14" s="458"/>
      <c r="N14" s="458"/>
      <c r="O14" s="458"/>
      <c r="P14" s="459"/>
      <c r="Q14" s="450">
        <f t="shared" si="0"/>
        <v>1833.52208797</v>
      </c>
    </row>
    <row r="15" spans="1:17" s="460" customFormat="1">
      <c r="A15" s="1004" t="s">
        <v>557</v>
      </c>
      <c r="B15" s="944">
        <f ca="1">SUM(B4:B14)</f>
        <v>33341.853061752925</v>
      </c>
      <c r="C15" s="944">
        <f t="shared" ref="C15:Q15" ca="1" si="1">SUM(C4:C14)</f>
        <v>0</v>
      </c>
      <c r="D15" s="944">
        <f t="shared" ca="1" si="1"/>
        <v>45879.017918263264</v>
      </c>
      <c r="E15" s="944">
        <f t="shared" si="1"/>
        <v>13477.522344026738</v>
      </c>
      <c r="F15" s="944">
        <f t="shared" ca="1" si="1"/>
        <v>27105.05471200835</v>
      </c>
      <c r="G15" s="944">
        <f t="shared" si="1"/>
        <v>42871.783862761615</v>
      </c>
      <c r="H15" s="944">
        <f t="shared" si="1"/>
        <v>7996.2436199686563</v>
      </c>
      <c r="I15" s="944">
        <f t="shared" si="1"/>
        <v>0</v>
      </c>
      <c r="J15" s="944">
        <f t="shared" si="1"/>
        <v>375.90691804235098</v>
      </c>
      <c r="K15" s="944">
        <f t="shared" si="1"/>
        <v>0</v>
      </c>
      <c r="L15" s="944">
        <f t="shared" ca="1" si="1"/>
        <v>0</v>
      </c>
      <c r="M15" s="944">
        <f t="shared" si="1"/>
        <v>1587.4850553854935</v>
      </c>
      <c r="N15" s="944">
        <f t="shared" ca="1" si="1"/>
        <v>8281.0706057329444</v>
      </c>
      <c r="O15" s="944">
        <f t="shared" si="1"/>
        <v>136.01</v>
      </c>
      <c r="P15" s="944">
        <f t="shared" si="1"/>
        <v>991.4666666666667</v>
      </c>
      <c r="Q15" s="944">
        <f t="shared" ca="1" si="1"/>
        <v>182043.41476460896</v>
      </c>
    </row>
    <row r="17" spans="1:17">
      <c r="A17" s="461" t="s">
        <v>558</v>
      </c>
      <c r="B17" s="760">
        <f ca="1">huishoudens!B10</f>
        <v>0.20640625298827034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4317.8796247531182</v>
      </c>
      <c r="C22" s="451">
        <f t="shared" ref="C22:C32" ca="1" si="3">C4*$C$17</f>
        <v>0</v>
      </c>
      <c r="D22" s="451">
        <f t="shared" ref="D22:D32" si="4">D4*$D$17</f>
        <v>7020.264323304672</v>
      </c>
      <c r="E22" s="451">
        <f t="shared" ref="E22:E32" si="5">E4*$E$17</f>
        <v>2935.0178656517687</v>
      </c>
      <c r="F22" s="451">
        <f t="shared" ref="F22:F32" si="6">F4*$F$17</f>
        <v>6043.3528638037405</v>
      </c>
      <c r="G22" s="451">
        <f t="shared" ref="G22:G32" si="7">G4*$G$17</f>
        <v>0</v>
      </c>
      <c r="H22" s="451">
        <f t="shared" ref="H22:H32" si="8">H4*$H$17</f>
        <v>0</v>
      </c>
      <c r="I22" s="451">
        <f t="shared" ref="I22:I32" si="9">I4*$I$17</f>
        <v>0</v>
      </c>
      <c r="J22" s="451">
        <f t="shared" ref="J22:J32" si="10">J4*$J$17</f>
        <v>98.941972069845036</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20415.456649583146</v>
      </c>
    </row>
    <row r="23" spans="1:17">
      <c r="A23" s="450" t="s">
        <v>155</v>
      </c>
      <c r="B23" s="451">
        <f t="shared" ca="1" si="2"/>
        <v>1267.4030017049045</v>
      </c>
      <c r="C23" s="451">
        <f t="shared" ca="1" si="3"/>
        <v>0</v>
      </c>
      <c r="D23" s="451">
        <f t="shared" ca="1" si="4"/>
        <v>1781.8047679922602</v>
      </c>
      <c r="E23" s="451">
        <f t="shared" si="5"/>
        <v>25.519436963090364</v>
      </c>
      <c r="F23" s="451">
        <f t="shared" ca="1" si="6"/>
        <v>429.43329475913856</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3504.1605014193938</v>
      </c>
    </row>
    <row r="24" spans="1:17">
      <c r="A24" s="450" t="s">
        <v>193</v>
      </c>
      <c r="B24" s="451">
        <f t="shared" ca="1" si="2"/>
        <v>127.03933340172659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127.03933340172659</v>
      </c>
    </row>
    <row r="25" spans="1:17">
      <c r="A25" s="450" t="s">
        <v>111</v>
      </c>
      <c r="B25" s="451">
        <f t="shared" ca="1" si="2"/>
        <v>90.677790655760688</v>
      </c>
      <c r="C25" s="451">
        <f t="shared" ca="1" si="3"/>
        <v>0</v>
      </c>
      <c r="D25" s="451">
        <f t="shared" si="4"/>
        <v>43.430545490382073</v>
      </c>
      <c r="E25" s="451">
        <f t="shared" si="5"/>
        <v>2.5715242130804574</v>
      </c>
      <c r="F25" s="451">
        <f t="shared" si="6"/>
        <v>428.74527882837566</v>
      </c>
      <c r="G25" s="451">
        <f t="shared" si="7"/>
        <v>0</v>
      </c>
      <c r="H25" s="451">
        <f t="shared" si="8"/>
        <v>0</v>
      </c>
      <c r="I25" s="451">
        <f t="shared" si="9"/>
        <v>0</v>
      </c>
      <c r="J25" s="451">
        <f t="shared" si="10"/>
        <v>22.388906053748926</v>
      </c>
      <c r="K25" s="451">
        <f t="shared" si="11"/>
        <v>0</v>
      </c>
      <c r="L25" s="451">
        <f t="shared" si="12"/>
        <v>0</v>
      </c>
      <c r="M25" s="451">
        <f t="shared" si="13"/>
        <v>0</v>
      </c>
      <c r="N25" s="451">
        <f t="shared" si="14"/>
        <v>0</v>
      </c>
      <c r="O25" s="451">
        <f t="shared" si="15"/>
        <v>0</v>
      </c>
      <c r="P25" s="452">
        <f t="shared" si="16"/>
        <v>0</v>
      </c>
      <c r="Q25" s="450">
        <f t="shared" ca="1" si="17"/>
        <v>587.8140452413478</v>
      </c>
    </row>
    <row r="26" spans="1:17">
      <c r="A26" s="450" t="s">
        <v>637</v>
      </c>
      <c r="B26" s="451">
        <f t="shared" ca="1" si="2"/>
        <v>956.20120818583234</v>
      </c>
      <c r="C26" s="451">
        <f t="shared" ca="1" si="3"/>
        <v>0</v>
      </c>
      <c r="D26" s="451">
        <f t="shared" si="4"/>
        <v>165.00357745085412</v>
      </c>
      <c r="E26" s="451">
        <f t="shared" si="5"/>
        <v>72.70697090229082</v>
      </c>
      <c r="F26" s="451">
        <f t="shared" si="6"/>
        <v>335.51817071497516</v>
      </c>
      <c r="G26" s="451">
        <f t="shared" si="7"/>
        <v>0</v>
      </c>
      <c r="H26" s="451">
        <f t="shared" si="8"/>
        <v>0</v>
      </c>
      <c r="I26" s="451">
        <f t="shared" si="9"/>
        <v>0</v>
      </c>
      <c r="J26" s="451">
        <f t="shared" si="10"/>
        <v>11.740170863398273</v>
      </c>
      <c r="K26" s="451">
        <f t="shared" si="11"/>
        <v>0</v>
      </c>
      <c r="L26" s="451">
        <f t="shared" si="12"/>
        <v>0</v>
      </c>
      <c r="M26" s="451">
        <f t="shared" si="13"/>
        <v>0</v>
      </c>
      <c r="N26" s="451">
        <f t="shared" si="14"/>
        <v>0</v>
      </c>
      <c r="O26" s="451">
        <f t="shared" si="15"/>
        <v>0</v>
      </c>
      <c r="P26" s="452">
        <f t="shared" si="16"/>
        <v>0</v>
      </c>
      <c r="Q26" s="450">
        <f t="shared" ca="1" si="17"/>
        <v>1541.1700981173508</v>
      </c>
    </row>
    <row r="27" spans="1:17" s="456" customFormat="1">
      <c r="A27" s="454" t="s">
        <v>563</v>
      </c>
      <c r="B27" s="754">
        <f t="shared" ca="1" si="2"/>
        <v>2.0991899103700571</v>
      </c>
      <c r="C27" s="455">
        <f t="shared" ca="1" si="3"/>
        <v>0</v>
      </c>
      <c r="D27" s="455">
        <f t="shared" si="4"/>
        <v>4.777820943609421</v>
      </c>
      <c r="E27" s="455">
        <f t="shared" si="5"/>
        <v>23.581774363839394</v>
      </c>
      <c r="F27" s="455">
        <f t="shared" si="6"/>
        <v>0</v>
      </c>
      <c r="G27" s="455">
        <f t="shared" si="7"/>
        <v>10944.077330891529</v>
      </c>
      <c r="H27" s="455">
        <f t="shared" si="8"/>
        <v>1991.0646613721954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12965.600777481543</v>
      </c>
    </row>
    <row r="28" spans="1:17">
      <c r="A28" s="450" t="s">
        <v>553</v>
      </c>
      <c r="B28" s="451">
        <f t="shared" ca="1" si="2"/>
        <v>0</v>
      </c>
      <c r="C28" s="451">
        <f t="shared" ca="1" si="3"/>
        <v>0</v>
      </c>
      <c r="D28" s="451">
        <f t="shared" si="4"/>
        <v>0</v>
      </c>
      <c r="E28" s="451">
        <f t="shared" si="5"/>
        <v>0</v>
      </c>
      <c r="F28" s="451">
        <f t="shared" si="6"/>
        <v>0</v>
      </c>
      <c r="G28" s="451">
        <f t="shared" si="7"/>
        <v>502.68896046582302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502.68896046582302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120.66680955019733</v>
      </c>
      <c r="C32" s="451">
        <f t="shared" ca="1" si="3"/>
        <v>0</v>
      </c>
      <c r="D32" s="451">
        <f t="shared" si="4"/>
        <v>252.28058430740003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372.94739385759738</v>
      </c>
    </row>
    <row r="33" spans="1:17" s="460" customFormat="1">
      <c r="A33" s="1004" t="s">
        <v>557</v>
      </c>
      <c r="B33" s="944">
        <f ca="1">SUM(B22:B32)</f>
        <v>6881.9669581619091</v>
      </c>
      <c r="C33" s="944">
        <f t="shared" ref="C33:Q33" ca="1" si="18">SUM(C22:C32)</f>
        <v>0</v>
      </c>
      <c r="D33" s="944">
        <f t="shared" ca="1" si="18"/>
        <v>9267.5616194891791</v>
      </c>
      <c r="E33" s="944">
        <f t="shared" si="18"/>
        <v>3059.3975720940698</v>
      </c>
      <c r="F33" s="944">
        <f t="shared" ca="1" si="18"/>
        <v>7237.0496081062292</v>
      </c>
      <c r="G33" s="944">
        <f t="shared" si="18"/>
        <v>11446.766291357351</v>
      </c>
      <c r="H33" s="944">
        <f t="shared" si="18"/>
        <v>1991.0646613721954</v>
      </c>
      <c r="I33" s="944">
        <f t="shared" si="18"/>
        <v>0</v>
      </c>
      <c r="J33" s="944">
        <f t="shared" si="18"/>
        <v>133.07104898699222</v>
      </c>
      <c r="K33" s="944">
        <f t="shared" si="18"/>
        <v>0</v>
      </c>
      <c r="L33" s="944">
        <f t="shared" ca="1" si="18"/>
        <v>0</v>
      </c>
      <c r="M33" s="944">
        <f t="shared" si="18"/>
        <v>0</v>
      </c>
      <c r="N33" s="944">
        <f t="shared" ca="1" si="18"/>
        <v>0</v>
      </c>
      <c r="O33" s="944">
        <f t="shared" si="18"/>
        <v>0</v>
      </c>
      <c r="P33" s="944">
        <f t="shared" si="18"/>
        <v>0</v>
      </c>
      <c r="Q33" s="944">
        <f t="shared" ca="1" si="18"/>
        <v>40016.877759567928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2201.7310791198452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2201.7310791198452</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0.20640625298827034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0.20640625298827034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2020-06-20T15:53:13Z</dcterms:modified>
</cp:coreProperties>
</file>