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13" i="15"/>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9" i="18"/>
  <c r="C17" i="18" s="1"/>
  <c r="D48" i="18"/>
  <c r="B48" i="18"/>
  <c r="C8" i="18" s="1"/>
  <c r="C10"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C24" i="14"/>
  <c r="C26" i="14" s="1"/>
  <c r="B7" i="48"/>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15" i="48"/>
  <c r="F10" i="14"/>
  <c r="E5" i="48"/>
  <c r="J20" i="15"/>
  <c r="K40" i="14" s="1"/>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6" i="14" l="1"/>
  <c r="F27" i="14" s="1"/>
  <c r="E23" i="48"/>
  <c r="E33" i="48" s="1"/>
  <c r="E8" i="48"/>
  <c r="E26" i="48" s="1"/>
  <c r="F13" i="14"/>
  <c r="J22" i="16"/>
  <c r="K43" i="14" s="1"/>
  <c r="K46" i="14" s="1"/>
  <c r="K61" i="14" s="1"/>
  <c r="K63" i="14" s="1"/>
  <c r="J8" i="48"/>
  <c r="K13" i="14"/>
  <c r="K16" i="14" s="1"/>
  <c r="K27" i="14" s="1"/>
  <c r="E22" i="16"/>
  <c r="F43" i="14" s="1"/>
  <c r="F46" i="14" s="1"/>
  <c r="F61" i="14" s="1"/>
  <c r="F63" i="14" s="1"/>
  <c r="G33" i="48"/>
  <c r="N8" i="48"/>
  <c r="N26" i="48" s="1"/>
  <c r="O13" i="14"/>
  <c r="N22" i="16"/>
  <c r="O43" i="14" s="1"/>
  <c r="G13" i="14"/>
  <c r="F8" i="48"/>
  <c r="E15" i="48"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<sst xmlns="http://schemas.openxmlformats.org/spreadsheetml/2006/main" count="2407" uniqueCount="896">
  <si>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</si>
  <si>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</si>
  <si>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</si>
  <si>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</si>
  <si>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</si>
  <si>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</si>
  <si>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</si>
  <si>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</si>
  <si>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</si>
  <si>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</si>
  <si>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</si>
  <si>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</si>
  <si>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</si>
  <si>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</si>
  <si>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</si>
  <si>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</si>
  <si>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</si>
  <si>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</si>
  <si>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</si>
  <si>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</si>
  <si>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</si>
  <si>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</si>
  <si>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</si>
  <si>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</si>
  <si>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</si>
  <si>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</si>
  <si>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</si>
  <si>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</si>
  <si>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</si>
  <si>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</si>
  <si>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</si>
  <si>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</si>
  <si>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</si>
  <si>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</si>
  <si>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</si>
  <si>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</si>
  <si>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</si>
  <si>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</si>
  <si>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</si>
  <si>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</si>
  <si>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</si>
  <si>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</si>
  <si>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</si>
  <si>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</si>
  <si>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</si>
  <si>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</si>
  <si>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</si>
  <si>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</si>
  <si>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</si>
  <si>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</si>
  <si>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</si>
  <si>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</si>
  <si>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</si>
  <si>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</si>
  <si>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</si>
  <si>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</si>
  <si>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</si>
  <si>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</si>
  <si>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</si>
  <si>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</si>
  <si>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</si>
  <si>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</si>
  <si>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</si>
  <si>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</si>
  <si>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</si>
  <si>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</si>
  <si>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</si>
  <si>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</si>
  <si>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</si>
  <si>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</si>
  <si>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</si>
  <si>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</si>
  <si>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</si>
  <si>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</si>
  <si>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</si>
  <si>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</si>
  <si>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</si>
  <si>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</si>
  <si>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</si>
  <si>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</si>
  <si>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</si>
  <si>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</si>
  <si>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</si>
  <si>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</si>
  <si>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</si>
  <si>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</si>
  <si>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</si>
  <si>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</si>
  <si>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</si>
  <si>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</si>
  <si>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</si>
  <si>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</si>
  <si>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</si>
  <si>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</si>
  <si>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</si>
  <si>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</si>
  <si>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</si>
  <si>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</si>
  <si>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</si>
  <si>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</si>
  <si>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</si>
  <si>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</si>
  <si>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</si>
  <si>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</si>
  <si>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</si>
  <si>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</si>
  <si>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</si>
  <si>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</si>
  <si>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</si>
  <si>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</si>
  <si>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</si>
  <si>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</si>
  <si>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</si>
  <si>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</si>
  <si>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</si>
  <si>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</si>
  <si>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</si>
  <si>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</si>
  <si>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</si>
  <si>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</si>
  <si>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</si>
  <si>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</si>
  <si>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</si>
  <si>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</si>
  <si>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</si>
  <si>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</si>
  <si>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</si>
  <si>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</si>
  <si>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</si>
  <si>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</si>
  <si>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</si>
  <si>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</si>
  <si>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</si>
  <si>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</si>
  <si>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</si>
  <si>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</si>
  <si>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</si>
  <si>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</si>
  <si>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</si>
  <si>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</si>
  <si>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</si>
  <si>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</si>
  <si>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</si>
  <si>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</si>
  <si>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</si>
  <si>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</si>
  <si>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</si>
  <si>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</si>
  <si>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</si>
  <si>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</si>
  <si>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</si>
  <si>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</si>
  <si>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</si>
  <si>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</si>
  <si>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</si>
  <si>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</si>
  <si>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</si>
  <si>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</si>
  <si>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</si>
  <si>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</si>
  <si>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</si>
  <si>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</si>
  <si>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</si>
  <si>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</si>
  <si>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</si>
  <si>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</si>
  <si>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</si>
  <si>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</si>
  <si>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</si>
  <si>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</si>
  <si>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</si>
  <si>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</si>
  <si>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</si>
  <si>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</si>
  <si>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</si>
  <si>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</si>
  <si>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</si>
  <si>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</si>
  <si>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</si>
  <si>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</si>
  <si>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</si>
  <si>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</si>
  <si>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</si>
  <si>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</si>
  <si>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</si>
  <si>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</si>
  <si>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</si>
  <si>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</si>
  <si>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</si>
  <si>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</si>
  <si>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</si>
  <si>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</si>
  <si>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</si>
  <si>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</si>
  <si>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</si>
  <si>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</si>
  <si>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</si>
  <si>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</si>
  <si>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</si>
  <si>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</si>
  <si>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</si>
  <si>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</si>
  <si>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</si>
  <si>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</si>
  <si>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</si>
  <si>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</si>
  <si>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</si>
  <si>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</si>
  <si>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</si>
  <si>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</si>
  <si>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</si>
  <si>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</si>
  <si>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</si>
  <si>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</si>
  <si>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</si>
  <si>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</si>
  <si>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</si>
  <si>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</si>
  <si>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</si>
  <si>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</si>
  <si>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</si>
  <si>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</si>
  <si>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</si>
  <si>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</si>
  <si>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</si>
  <si>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</si>
  <si>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</si>
  <si>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</si>
  <si>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</si>
  <si>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</si>
  <si>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</si>
  <si>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</si>
  <si>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</si>
  <si>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</si>
  <si>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</si>
  <si>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</si>
  <si>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</si>
  <si>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</si>
  <si>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</si>
  <si>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</si>
  <si>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</si>
  <si>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</si>
  <si>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</si>
  <si>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</si>
  <si>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</si>
  <si>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</si>
  <si>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</si>
  <si>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</si>
  <si>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</si>
  <si>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</si>
  <si>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</si>
  <si>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</si>
  <si>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</si>
  <si>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</si>
  <si>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</si>
  <si>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</si>
  <si>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</si>
  <si>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</si>
  <si>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</si>
  <si>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</si>
  <si>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</si>
  <si>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</si>
  <si>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</si>
  <si>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</si>
  <si>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</si>
  <si>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</si>
  <si>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</si>
  <si>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</si>
  <si>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</si>
  <si>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</si>
  <si>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</si>
  <si>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</si>
  <si>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</si>
  <si>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</si>
  <si>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</si>
  <si>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</si>
  <si>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</si>
  <si>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</si>
  <si>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</si>
  <si>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</si>
  <si>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</si>
  <si>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</si>
  <si>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</si>
  <si>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</si>
  <si>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</si>
  <si>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</si>
  <si>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</si>
  <si>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</si>
  <si>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</si>
  <si>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</si>
  <si>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</si>
  <si>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</si>
  <si>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</si>
  <si>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</si>
  <si>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</si>
  <si>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</si>
  <si>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</si>
  <si>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</si>
  <si>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</si>
  <si>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</si>
  <si>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</si>
  <si>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</si>
  <si>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</si>
  <si>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</si>
  <si>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</si>
  <si>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</si>
  <si>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</si>
  <si>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</si>
  <si>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</si>
  <si>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</si>
  <si>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</si>
  <si>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</si>
  <si>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</si>
  <si>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</si>
  <si>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</si>
  <si>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</si>
  <si>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</si>
  <si>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</si>
  <si>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</si>
  <si>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</si>
  <si>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</si>
  <si>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</si>
  <si>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</si>
  <si>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</si>
  <si>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</si>
  <si>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</si>
  <si>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</si>
  <si>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</si>
  <si>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</si>
  <si>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</si>
  <si>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</si>
  <si>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</si>
  <si>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</si>
  <si>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</si>
  <si>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</si>
  <si>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</si>
  <si>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</si>
  <si>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</si>
  <si>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</si>
  <si>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</si>
  <si>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</si>
  <si>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</si>
  <si>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</si>
  <si>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</si>
  <si>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</si>
  <si>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</si>
  <si>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</si>
  <si>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</si>
  <si>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</si>
  <si>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</si>
  <si>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</si>
  <si>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</si>
  <si>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</si>
  <si>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</si>
  <si>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</si>
  <si>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</si>
  <si>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</si>
  <si>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</si>
  <si>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</si>
  <si>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</si>
  <si>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</si>
  <si>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</si>
  <si>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</si>
  <si>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</si>
  <si>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</si>
  <si>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</si>
  <si>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</si>
  <si>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</si>
  <si>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</si>
  <si>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</si>
  <si>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</si>
  <si>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</si>
  <si>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</si>
  <si>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</si>
  <si>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</si>
  <si>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</si>
  <si>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</si>
  <si>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</si>
  <si>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</si>
  <si>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</si>
  <si>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</si>
  <si>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</si>
  <si>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</si>
  <si>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</si>
  <si>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</si>
  <si>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</si>
  <si>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</si>
  <si>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</si>
  <si>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</si>
  <si>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</si>
  <si>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</si>
  <si>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</si>
  <si>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</si>
  <si>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</si>
  <si>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</si>
  <si>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</si>
  <si>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</si>
  <si>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</si>
  <si>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</si>
  <si>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</si>
  <si>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</si>
  <si>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</si>
  <si>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</si>
  <si>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</si>
  <si>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</si>
  <si>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</si>
  <si>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</si>
  <si>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</si>
  <si>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</si>
  <si>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</si>
  <si>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</si>
  <si>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</si>
  <si>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</si>
  <si>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</si>
  <si>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</si>
  <si>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</si>
  <si>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</si>
  <si>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</si>
  <si>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</si>
  <si>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</si>
  <si>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</si>
  <si>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</si>
  <si>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</si>
  <si>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</si>
  <si>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</si>
  <si>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</si>
  <si>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</si>
  <si>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</si>
  <si>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</si>
  <si>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</si>
  <si>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</si>
  <si>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</si>
  <si>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</si>
  <si>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</si>
  <si>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</si>
  <si>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</si>
  <si>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</si>
  <si>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</si>
  <si>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</si>
  <si>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</si>
  <si>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</si>
  <si>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</si>
  <si>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</si>
  <si>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</si>
  <si>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</si>
  <si>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</si>
  <si>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</si>
  <si>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</si>
  <si>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</si>
  <si>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</si>
  <si>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</si>
  <si>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</si>
  <si>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</si>
  <si>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</si>
  <si>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</si>
  <si>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</si>
  <si>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</si>
  <si>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</si>
  <si>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</si>
  <si>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</si>
  <si>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</si>
  <si>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</si>
  <si>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</si>
  <si>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</si>
  <si>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</si>
  <si>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</si>
  <si>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</si>
  <si>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</si>
  <si>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</si>
  <si>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</si>
  <si>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</si>
  <si>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</si>
  <si>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</si>
  <si>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</si>
  <si>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</si>
  <si>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</si>
  <si>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</si>
  <si>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</si>
  <si>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</si>
  <si>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</si>
  <si>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</si>
  <si>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</si>
  <si>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</si>
  <si>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</si>
  <si>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</si>
  <si>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</si>
  <si>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</si>
  <si>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</si>
  <si>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</si>
  <si>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</si>
  <si>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</si>
  <si>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</si>
  <si>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</si>
  <si>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</si>
  <si>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</si>
  <si>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</si>
  <si>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</si>
  <si>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</si>
  <si>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</si>
  <si>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</si>
  <si>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</si>
  <si>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</si>
  <si>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</si>
  <si>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</si>
  <si>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</si>
  <si>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</si>
  <si>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</si>
  <si>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</si>
  <si>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</si>
  <si>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</si>
  <si>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</si>
  <si>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</si>
  <si>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</si>
  <si>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</si>
  <si>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</si>
  <si>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</si>
  <si>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</si>
  <si>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</si>
  <si>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</si>
  <si>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</si>
  <si>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</si>
  <si>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</si>
  <si>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</si>
  <si>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</si>
  <si>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</si>
  <si>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</si>
  <si>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</si>
  <si>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</si>
  <si>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</si>
  <si>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</si>
  <si>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</si>
  <si>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</si>
  <si>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</si>
  <si>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</si>
  <si>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</si>
  <si>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</si>
  <si>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</si>
  <si>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</si>
  <si>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</si>
  <si>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</si>
  <si>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</si>
  <si>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</si>
  <si>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</si>
  <si>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</si>
  <si>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</si>
  <si>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</si>
  <si>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</si>
  <si>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</si>
  <si>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</si>
  <si>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</si>
  <si>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</si>
  <si>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</si>
  <si>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</si>
  <si>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</si>
  <si>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</si>
  <si>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</si>
  <si>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</si>
  <si>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</si>
  <si>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</si>
  <si>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</si>
  <si>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</si>
  <si>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</si>
  <si>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</si>
  <si>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</si>
  <si>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</si>
  <si>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</si>
  <si>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</si>
  <si>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</si>
  <si>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</si>
  <si>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</si>
  <si>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</si>
  <si>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</si>
  <si>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</si>
  <si>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</si>
  <si>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</si>
  <si>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</si>
  <si>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</si>
  <si>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</si>
  <si>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</si>
  <si>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</si>
  <si>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</si>
  <si>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</si>
  <si>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</si>
  <si>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</si>
  <si>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</si>
  <si>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</si>
  <si>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</si>
  <si>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</si>
  <si>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</si>
  <si>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</si>
  <si>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</si>
  <si>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</si>
  <si>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</si>
  <si>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</si>
  <si>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</si>
  <si>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</si>
  <si>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</si>
  <si>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</si>
  <si>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</si>
  <si>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</si>
  <si>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</si>
  <si>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</si>
  <si>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</si>
  <si>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</si>
  <si>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</si>
  <si>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</si>
  <si>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</si>
  <si>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</si>
  <si>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</si>
  <si>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</si>
  <si>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</si>
  <si>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</si>
  <si>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</si>
  <si>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</si>
  <si>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</si>
  <si>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</si>
  <si>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</si>
  <si>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</si>
  <si>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</si>
  <si>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</si>
  <si>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</si>
  <si>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</si>
  <si>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</si>
  <si>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</si>
  <si>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</si>
  <si>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</si>
  <si>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</si>
  <si>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</si>
  <si>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</si>
  <si>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</si>
  <si>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</si>
  <si>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</si>
  <si>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</si>
  <si>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</si>
  <si>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</si>
  <si>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</si>
  <si>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</si>
  <si>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</si>
  <si>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</si>
  <si>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</si>
  <si>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</si>
  <si>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</si>
  <si>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</si>
  <si>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</si>
  <si>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</si>
  <si>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</si>
  <si>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</si>
  <si>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</si>
  <si>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</si>
  <si>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</si>
  <si>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</si>
  <si>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</si>
  <si>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</si>
  <si>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</si>
  <si>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</si>
  <si>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</si>
  <si>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</si>
  <si>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</si>
  <si>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</si>
  <si>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</si>
  <si>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</si>
  <si>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</si>
  <si>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</si>
  <si>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</si>
  <si>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</si>
  <si>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</si>
  <si>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</si>
  <si>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</si>
  <si>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</si>
  <si>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</si>
  <si>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</si>
  <si>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</si>
  <si>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</si>
  <si>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</si>
  <si>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</si>
  <si>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</si>
  <si>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</si>
  <si>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</si>
  <si>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</si>
  <si>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</si>
  <si>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</si>
  <si>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</si>
  <si>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</si>
  <si>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</si>
  <si>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</si>
  <si>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</si>
  <si>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</si>
  <si>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</si>
  <si>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</si>
  <si>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</si>
  <si>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</si>
  <si>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</si>
  <si>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</si>
  <si>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</si>
  <si>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</si>
  <si>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</si>
  <si>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</si>
  <si>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</si>
  <si>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</si>
  <si>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</si>
  <si>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</si>
  <si>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</si>
  <si>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</si>
  <si>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</si>
  <si>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</si>
  <si>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</si>
  <si>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</si>
  <si>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</si>
  <si>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</si>
  <si>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</si>
  <si>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</si>
  <si>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</si>
  <si>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</si>
  <si>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</si>
  <si>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</si>
  <si>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</si>
  <si>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</si>
  <si>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</si>
  <si>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</si>
  <si>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</si>
  <si>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</si>
  <si>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</si>
  <si>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</si>
  <si>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</si>
  <si>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</si>
  <si>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</si>
  <si>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</si>
  <si>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</si>
  <si>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</si>
  <si>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</si>
  <si>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</si>
  <si>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</si>
  <si>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</si>
  <si>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</si>
  <si>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</si>
  <si>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</si>
  <si>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</si>
  <si>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</si>
  <si>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</si>
  <si>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</si>
  <si>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</si>
  <si>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</si>
  <si>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</si>
  <si>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</si>
  <si>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</si>
  <si>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</si>
  <si>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</si>
  <si>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</si>
  <si>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</si>
  <si>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</si>
  <si>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</si>
  <si>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</si>
  <si>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</si>
  <si>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</si>
  <si>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</si>
  <si>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</si>
  <si>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</si>
  <si>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</si>
  <si>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</si>
  <si>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</si>
  <si>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</si>
  <si>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</si>
  <si>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</si>
  <si>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</si>
  <si>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</si>
  <si>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</si>
  <si>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</si>
  <si>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</si>
  <si>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</si>
  <si>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</si>
  <si>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</si>
  <si>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</si>
  <si>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</si>
  <si>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</si>
  <si>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</si>
  <si>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</si>
  <si>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</si>
  <si>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</si>
  <si>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</si>
  <si>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</si>
  <si>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</si>
  <si>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</si>
  <si>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</si>
  <si>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</si>
  <si>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</si>
  <si>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</si>
  <si>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</si>
  <si>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</si>
  <si>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</si>
  <si>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</si>
  <si>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</si>
  <si>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</si>
  <si>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</si>
  <si>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</si>
  <si>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</si>
  <si>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</si>
  <si>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</si>
  <si>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</si>
  <si>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</si>
  <si>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</si>
  <si>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</si>
  <si>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</si>
  <si>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</si>
  <si>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</si>
  <si>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</si>
  <si>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</si>
  <si>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</si>
  <si>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</si>
  <si>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</si>
  <si>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</si>
  <si>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</si>
  <si>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</si>
  <si>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</si>
  <si>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</si>
  <si>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</si>
  <si>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</si>
  <si>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</si>
  <si>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</si>
  <si>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</si>
  <si>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</si>
  <si>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</si>
  <si>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</si>
  <si>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</si>
  <si>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</si>
  <si>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</si>
  <si>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</si>
  <si>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</si>
  <si>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</si>
  <si>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</si>
  <si>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</si>
  <si>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</si>
  <si>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</si>
  <si>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</si>
  <si>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</si>
  <si>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</si>
  <si>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</si>
  <si>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</si>
  <si>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</si>
  <si>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</si>
  <si>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</si>
  <si>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</si>
  <si>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</si>
  <si>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</si>
  <si>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</si>
  <si>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</si>
  <si>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</si>
  <si>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</si>
  <si>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</si>
  <si>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</si>
  <si>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</si>
  <si>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</si>
  <si>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</si>
  <si>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</si>
  <si>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</si>
  <si>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</si>
  <si>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</si>
  <si>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</si>
  <si>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</si>
  <si>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</si>
  <si>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</si>
  <si>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</si>
  <si>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</si>
  <si>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</si>
  <si>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</si>
  <si>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</si>
  <si>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</si>
  <si>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</si>
  <si>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</si>
  <si>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</si>
  <si>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</si>
  <si>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</si>
  <si>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</si>
  <si>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</si>
  <si>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</si>
  <si>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</si>
  <si>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</si>
  <si>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</si>
  <si>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</si>
  <si>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</si>
  <si>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</si>
  <si>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</si>
  <si>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</si>
  <si>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</si>
  <si>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</si>
  <si>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</si>
  <si>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</si>
  <si>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</si>
  <si>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</si>
  <si>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</si>
  <si>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</si>
  <si>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23062</t>
  </si>
  <si>
    <t>OVERIJSE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</si>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</sst>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235082.5436870511</c:v>
                </c:pt>
                <c:pt idx="1">
                  <c:v>78332.789969399731</c:v>
                </c:pt>
                <c:pt idx="2">
                  <c:v>2045.8910000000001</c:v>
                </c:pt>
                <c:pt idx="3">
                  <c:v>3742.6269102259957</c:v>
                </c:pt>
                <c:pt idx="4">
                  <c:v>8937.4135717822355</c:v>
                </c:pt>
                <c:pt idx="5">
                  <c:v>302089.33844601974</c:v>
                </c:pt>
                <c:pt idx="6">
                  <c:v>4212.0578032514941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235082.5436870511</c:v>
                </c:pt>
                <c:pt idx="1">
                  <c:v>78332.789969399731</c:v>
                </c:pt>
                <c:pt idx="2">
                  <c:v>2045.8910000000001</c:v>
                </c:pt>
                <c:pt idx="3">
                  <c:v>3742.6269102259957</c:v>
                </c:pt>
                <c:pt idx="4">
                  <c:v>8937.4135717822355</c:v>
                </c:pt>
                <c:pt idx="5">
                  <c:v>302089.33844601974</c:v>
                </c:pt>
                <c:pt idx="6">
                  <c:v>4212.0578032514941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48907.182408149922</c:v>
                </c:pt>
                <c:pt idx="2">
                  <c:v>15643.259994083164</c:v>
                </c:pt>
                <c:pt idx="3">
                  <c:v>433.72390686765777</c:v>
                </c:pt>
                <c:pt idx="4">
                  <c:v>898.69944627546329</c:v>
                </c:pt>
                <c:pt idx="5">
                  <c:v>1872.3063770607716</c:v>
                </c:pt>
                <c:pt idx="6">
                  <c:v>77268.03323766106</c:v>
                </c:pt>
                <c:pt idx="7">
                  <c:v>1090.8271285214221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48907.182408149922</c:v>
                </c:pt>
                <c:pt idx="2">
                  <c:v>15643.259994083164</c:v>
                </c:pt>
                <c:pt idx="3">
                  <c:v>433.72390686765777</c:v>
                </c:pt>
                <c:pt idx="4">
                  <c:v>898.69944627546329</c:v>
                </c:pt>
                <c:pt idx="5">
                  <c:v>1872.3063770607716</c:v>
                </c:pt>
                <c:pt idx="6">
                  <c:v>77268.03323766106</c:v>
                </c:pt>
                <c:pt idx="7">
                  <c:v>1090.8271285214221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23062</v>
      </c>
      <c r="B6" s="390"/>
      <c r="C6" s="391"/>
    </row>
    <row r="7" spans="1:7" s="388" customFormat="1" ht="15.75" customHeight="1">
      <c r="A7" s="392" t="str">
        <f>txtMunicipality</f>
        <v>OVERIJSE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0.21199756334411646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0.21199756334411646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9727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1557.21</v>
      </c>
      <c r="C14" s="330"/>
      <c r="D14" s="330"/>
      <c r="E14" s="330"/>
      <c r="F14" s="330"/>
    </row>
    <row r="15" spans="1:6">
      <c r="A15" s="1291" t="s">
        <v>183</v>
      </c>
      <c r="B15" s="1292">
        <v>0</v>
      </c>
      <c r="C15" s="330"/>
      <c r="D15" s="330"/>
      <c r="E15" s="330"/>
      <c r="F15" s="330"/>
    </row>
    <row r="16" spans="1:6">
      <c r="A16" s="1291" t="s">
        <v>6</v>
      </c>
      <c r="B16" s="1292">
        <v>122</v>
      </c>
      <c r="C16" s="330"/>
      <c r="D16" s="330"/>
      <c r="E16" s="330"/>
      <c r="F16" s="330"/>
    </row>
    <row r="17" spans="1:6">
      <c r="A17" s="1291" t="s">
        <v>7</v>
      </c>
      <c r="B17" s="1292">
        <v>75</v>
      </c>
      <c r="C17" s="330"/>
      <c r="D17" s="330"/>
      <c r="E17" s="330"/>
      <c r="F17" s="330"/>
    </row>
    <row r="18" spans="1:6">
      <c r="A18" s="1291" t="s">
        <v>8</v>
      </c>
      <c r="B18" s="1292">
        <v>156</v>
      </c>
      <c r="C18" s="330"/>
      <c r="D18" s="330"/>
      <c r="E18" s="330"/>
      <c r="F18" s="330"/>
    </row>
    <row r="19" spans="1:6">
      <c r="A19" s="1291" t="s">
        <v>9</v>
      </c>
      <c r="B19" s="1292">
        <v>183</v>
      </c>
      <c r="C19" s="330"/>
      <c r="D19" s="330"/>
      <c r="E19" s="330"/>
      <c r="F19" s="330"/>
    </row>
    <row r="20" spans="1:6">
      <c r="A20" s="1291" t="s">
        <v>10</v>
      </c>
      <c r="B20" s="1292">
        <v>79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259</v>
      </c>
      <c r="C26" s="330"/>
      <c r="D26" s="330"/>
      <c r="E26" s="330"/>
      <c r="F26" s="330"/>
    </row>
    <row r="27" spans="1:6">
      <c r="A27" s="1291" t="s">
        <v>17</v>
      </c>
      <c r="B27" s="1292">
        <v>0</v>
      </c>
      <c r="C27" s="330"/>
      <c r="D27" s="330"/>
      <c r="E27" s="330"/>
      <c r="F27" s="330"/>
    </row>
    <row r="28" spans="1:6" s="43" customFormat="1">
      <c r="A28" s="1293" t="s">
        <v>18</v>
      </c>
      <c r="B28" s="1294">
        <v>48</v>
      </c>
      <c r="C28" s="336"/>
      <c r="D28" s="336"/>
      <c r="E28" s="336"/>
      <c r="F28" s="336"/>
    </row>
    <row r="29" spans="1:6">
      <c r="A29" s="1293" t="s">
        <v>892</v>
      </c>
      <c r="B29" s="1294">
        <v>144</v>
      </c>
      <c r="C29" s="336"/>
      <c r="D29" s="336"/>
      <c r="E29" s="336"/>
      <c r="F29" s="336"/>
    </row>
    <row r="30" spans="1:6">
      <c r="A30" s="1286" t="s">
        <v>893</v>
      </c>
      <c r="B30" s="1295">
        <v>40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8</v>
      </c>
      <c r="F36" s="1292">
        <v>23865.641295000001</v>
      </c>
    </row>
    <row r="37" spans="1:6">
      <c r="A37" s="1291" t="s">
        <v>24</v>
      </c>
      <c r="B37" s="1291" t="s">
        <v>27</v>
      </c>
      <c r="C37" s="1292">
        <v>0</v>
      </c>
      <c r="D37" s="1292">
        <v>0</v>
      </c>
      <c r="E37" s="1292">
        <v>0</v>
      </c>
      <c r="F37" s="1292">
        <v>0</v>
      </c>
    </row>
    <row r="38" spans="1:6">
      <c r="A38" s="1291" t="s">
        <v>24</v>
      </c>
      <c r="B38" s="1291" t="s">
        <v>28</v>
      </c>
      <c r="C38" s="1292">
        <v>1</v>
      </c>
      <c r="D38" s="1292">
        <v>28390.336084999999</v>
      </c>
      <c r="E38" s="1292">
        <v>3</v>
      </c>
      <c r="F38" s="1292">
        <v>78651.730236000003</v>
      </c>
    </row>
    <row r="39" spans="1:6">
      <c r="A39" s="1291" t="s">
        <v>29</v>
      </c>
      <c r="B39" s="1291" t="s">
        <v>30</v>
      </c>
      <c r="C39" s="1292">
        <v>6024</v>
      </c>
      <c r="D39" s="1292">
        <v>138744648.74000001</v>
      </c>
      <c r="E39" s="1292">
        <v>9559</v>
      </c>
      <c r="F39" s="1292">
        <v>41081778.866999999</v>
      </c>
    </row>
    <row r="40" spans="1:6">
      <c r="A40" s="1291" t="s">
        <v>29</v>
      </c>
      <c r="B40" s="1291" t="s">
        <v>28</v>
      </c>
      <c r="C40" s="1292">
        <v>1</v>
      </c>
      <c r="D40" s="1292">
        <v>20996.752278</v>
      </c>
      <c r="E40" s="1292">
        <v>1</v>
      </c>
      <c r="F40" s="1292">
        <v>7686.1899567999999</v>
      </c>
    </row>
    <row r="41" spans="1:6">
      <c r="A41" s="1291" t="s">
        <v>31</v>
      </c>
      <c r="B41" s="1291" t="s">
        <v>32</v>
      </c>
      <c r="C41" s="1292">
        <v>64</v>
      </c>
      <c r="D41" s="1292">
        <v>1727516.5551</v>
      </c>
      <c r="E41" s="1292">
        <v>158</v>
      </c>
      <c r="F41" s="1292">
        <v>1449469.6436999999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76802.487536000001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4</v>
      </c>
      <c r="D47" s="1292">
        <v>162770.18989000001</v>
      </c>
      <c r="E47" s="1292">
        <v>10</v>
      </c>
      <c r="F47" s="1292">
        <v>389463.90808000002</v>
      </c>
    </row>
    <row r="48" spans="1:6">
      <c r="A48" s="1291" t="s">
        <v>31</v>
      </c>
      <c r="B48" s="1291" t="s">
        <v>28</v>
      </c>
      <c r="C48" s="1292">
        <v>23</v>
      </c>
      <c r="D48" s="1292">
        <v>1649441.8688000001</v>
      </c>
      <c r="E48" s="1292">
        <v>25</v>
      </c>
      <c r="F48" s="1292">
        <v>773535.23656999995</v>
      </c>
    </row>
    <row r="49" spans="1:6">
      <c r="A49" s="1291" t="s">
        <v>31</v>
      </c>
      <c r="B49" s="1291" t="s">
        <v>39</v>
      </c>
      <c r="C49" s="1292">
        <v>0</v>
      </c>
      <c r="D49" s="1292">
        <v>0</v>
      </c>
      <c r="E49" s="1292">
        <v>0</v>
      </c>
      <c r="F49" s="1292">
        <v>0</v>
      </c>
    </row>
    <row r="50" spans="1:6">
      <c r="A50" s="1291" t="s">
        <v>31</v>
      </c>
      <c r="B50" s="1291" t="s">
        <v>40</v>
      </c>
      <c r="C50" s="1292">
        <v>3</v>
      </c>
      <c r="D50" s="1292">
        <v>331666.50092999998</v>
      </c>
      <c r="E50" s="1292">
        <v>9</v>
      </c>
      <c r="F50" s="1292">
        <v>363385.51579999999</v>
      </c>
    </row>
    <row r="51" spans="1:6">
      <c r="A51" s="1291" t="s">
        <v>41</v>
      </c>
      <c r="B51" s="1291" t="s">
        <v>42</v>
      </c>
      <c r="C51" s="1292">
        <v>17</v>
      </c>
      <c r="D51" s="1292">
        <v>1131548.236</v>
      </c>
      <c r="E51" s="1292">
        <v>91</v>
      </c>
      <c r="F51" s="1292">
        <v>494538.36729000002</v>
      </c>
    </row>
    <row r="52" spans="1:6">
      <c r="A52" s="1291" t="s">
        <v>41</v>
      </c>
      <c r="B52" s="1291" t="s">
        <v>28</v>
      </c>
      <c r="C52" s="1292">
        <v>6</v>
      </c>
      <c r="D52" s="1292">
        <v>191970.78203</v>
      </c>
      <c r="E52" s="1292">
        <v>6</v>
      </c>
      <c r="F52" s="1292">
        <v>33719.570412000001</v>
      </c>
    </row>
    <row r="53" spans="1:6">
      <c r="A53" s="1291" t="s">
        <v>43</v>
      </c>
      <c r="B53" s="1291" t="s">
        <v>44</v>
      </c>
      <c r="C53" s="1292">
        <v>179</v>
      </c>
      <c r="D53" s="1292">
        <v>4884786.1541999998</v>
      </c>
      <c r="E53" s="1292">
        <v>341</v>
      </c>
      <c r="F53" s="1292">
        <v>1516383.2265999999</v>
      </c>
    </row>
    <row r="54" spans="1:6">
      <c r="A54" s="1291" t="s">
        <v>45</v>
      </c>
      <c r="B54" s="1291" t="s">
        <v>46</v>
      </c>
      <c r="C54" s="1292">
        <v>0</v>
      </c>
      <c r="D54" s="1292">
        <v>0</v>
      </c>
      <c r="E54" s="1292">
        <v>1</v>
      </c>
      <c r="F54" s="1292">
        <v>2045891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77</v>
      </c>
      <c r="D57" s="1292">
        <v>8586349.0502000004</v>
      </c>
      <c r="E57" s="1292">
        <v>155</v>
      </c>
      <c r="F57" s="1292">
        <v>5353368.1020999998</v>
      </c>
    </row>
    <row r="58" spans="1:6">
      <c r="A58" s="1291" t="s">
        <v>48</v>
      </c>
      <c r="B58" s="1291" t="s">
        <v>50</v>
      </c>
      <c r="C58" s="1292">
        <v>35</v>
      </c>
      <c r="D58" s="1292">
        <v>1380215.0134000001</v>
      </c>
      <c r="E58" s="1292">
        <v>50</v>
      </c>
      <c r="F58" s="1292">
        <v>547453.10075999994</v>
      </c>
    </row>
    <row r="59" spans="1:6">
      <c r="A59" s="1291" t="s">
        <v>48</v>
      </c>
      <c r="B59" s="1291" t="s">
        <v>51</v>
      </c>
      <c r="C59" s="1292">
        <v>134</v>
      </c>
      <c r="D59" s="1292">
        <v>6765287.8684999999</v>
      </c>
      <c r="E59" s="1292">
        <v>270</v>
      </c>
      <c r="F59" s="1292">
        <v>8094293.8811999997</v>
      </c>
    </row>
    <row r="60" spans="1:6">
      <c r="A60" s="1291" t="s">
        <v>48</v>
      </c>
      <c r="B60" s="1291" t="s">
        <v>52</v>
      </c>
      <c r="C60" s="1292">
        <v>79</v>
      </c>
      <c r="D60" s="1292">
        <v>4233890.2131000003</v>
      </c>
      <c r="E60" s="1292">
        <v>94</v>
      </c>
      <c r="F60" s="1292">
        <v>3361783.5636999998</v>
      </c>
    </row>
    <row r="61" spans="1:6">
      <c r="A61" s="1291" t="s">
        <v>48</v>
      </c>
      <c r="B61" s="1291" t="s">
        <v>53</v>
      </c>
      <c r="C61" s="1292">
        <v>268</v>
      </c>
      <c r="D61" s="1292">
        <v>11511282.02</v>
      </c>
      <c r="E61" s="1292">
        <v>547</v>
      </c>
      <c r="F61" s="1292">
        <v>6052765.2544</v>
      </c>
    </row>
    <row r="62" spans="1:6">
      <c r="A62" s="1291" t="s">
        <v>48</v>
      </c>
      <c r="B62" s="1291" t="s">
        <v>54</v>
      </c>
      <c r="C62" s="1292">
        <v>10</v>
      </c>
      <c r="D62" s="1292">
        <v>540247.61612999998</v>
      </c>
      <c r="E62" s="1292">
        <v>16</v>
      </c>
      <c r="F62" s="1292">
        <v>228634.29389999999</v>
      </c>
    </row>
    <row r="63" spans="1:6">
      <c r="A63" s="1291" t="s">
        <v>48</v>
      </c>
      <c r="B63" s="1291" t="s">
        <v>28</v>
      </c>
      <c r="C63" s="1292">
        <v>112</v>
      </c>
      <c r="D63" s="1292">
        <v>9158162.0470000003</v>
      </c>
      <c r="E63" s="1292">
        <v>114</v>
      </c>
      <c r="F63" s="1292">
        <v>4383043.1144000003</v>
      </c>
    </row>
    <row r="64" spans="1:6">
      <c r="A64" s="1291" t="s">
        <v>55</v>
      </c>
      <c r="B64" s="1291" t="s">
        <v>56</v>
      </c>
      <c r="C64" s="1292">
        <v>0</v>
      </c>
      <c r="D64" s="1292">
        <v>0</v>
      </c>
      <c r="E64" s="1292">
        <v>0</v>
      </c>
      <c r="F64" s="1292">
        <v>0</v>
      </c>
    </row>
    <row r="65" spans="1:6">
      <c r="A65" s="1291" t="s">
        <v>55</v>
      </c>
      <c r="B65" s="1291" t="s">
        <v>28</v>
      </c>
      <c r="C65" s="1292">
        <v>4</v>
      </c>
      <c r="D65" s="1292">
        <v>358236.62637000001</v>
      </c>
      <c r="E65" s="1292">
        <v>5</v>
      </c>
      <c r="F65" s="1292">
        <v>162829.71760999999</v>
      </c>
    </row>
    <row r="66" spans="1:6">
      <c r="A66" s="1291" t="s">
        <v>55</v>
      </c>
      <c r="B66" s="1291" t="s">
        <v>57</v>
      </c>
      <c r="C66" s="1292">
        <v>0</v>
      </c>
      <c r="D66" s="1292">
        <v>0</v>
      </c>
      <c r="E66" s="1292">
        <v>23</v>
      </c>
      <c r="F66" s="1292">
        <v>339950.04729999998</v>
      </c>
    </row>
    <row r="67" spans="1:6">
      <c r="A67" s="1293" t="s">
        <v>55</v>
      </c>
      <c r="B67" s="1293" t="s">
        <v>58</v>
      </c>
      <c r="C67" s="1292">
        <v>0</v>
      </c>
      <c r="D67" s="1292">
        <v>0</v>
      </c>
      <c r="E67" s="1292">
        <v>0</v>
      </c>
      <c r="F67" s="1292">
        <v>0</v>
      </c>
    </row>
    <row r="68" spans="1:6">
      <c r="A68" s="1286" t="s">
        <v>55</v>
      </c>
      <c r="B68" s="1286" t="s">
        <v>59</v>
      </c>
      <c r="C68" s="1295">
        <v>4</v>
      </c>
      <c r="D68" s="1295">
        <v>238545.09719999999</v>
      </c>
      <c r="E68" s="1295">
        <v>13</v>
      </c>
      <c r="F68" s="1295">
        <v>73551.770470000003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87705332</v>
      </c>
      <c r="E73" s="449"/>
      <c r="F73" s="330"/>
    </row>
    <row r="74" spans="1:6">
      <c r="A74" s="1291" t="s">
        <v>63</v>
      </c>
      <c r="B74" s="1291" t="s">
        <v>664</v>
      </c>
      <c r="C74" s="1305" t="s">
        <v>666</v>
      </c>
      <c r="D74" s="1306">
        <v>3131386.4489900069</v>
      </c>
      <c r="E74" s="449"/>
      <c r="F74" s="330"/>
    </row>
    <row r="75" spans="1:6">
      <c r="A75" s="1291" t="s">
        <v>64</v>
      </c>
      <c r="B75" s="1291" t="s">
        <v>663</v>
      </c>
      <c r="C75" s="1305" t="s">
        <v>667</v>
      </c>
      <c r="D75" s="1306">
        <v>49095440</v>
      </c>
      <c r="E75" s="449"/>
      <c r="F75" s="330"/>
    </row>
    <row r="76" spans="1:6">
      <c r="A76" s="1291" t="s">
        <v>64</v>
      </c>
      <c r="B76" s="1291" t="s">
        <v>664</v>
      </c>
      <c r="C76" s="1305" t="s">
        <v>668</v>
      </c>
      <c r="D76" s="1306">
        <v>973943.44899000693</v>
      </c>
      <c r="E76" s="449"/>
      <c r="F76" s="330"/>
    </row>
    <row r="77" spans="1:6">
      <c r="A77" s="1291" t="s">
        <v>65</v>
      </c>
      <c r="B77" s="1291" t="s">
        <v>663</v>
      </c>
      <c r="C77" s="1305" t="s">
        <v>669</v>
      </c>
      <c r="D77" s="1306">
        <v>218780990</v>
      </c>
      <c r="E77" s="449"/>
      <c r="F77" s="330"/>
    </row>
    <row r="78" spans="1:6">
      <c r="A78" s="1286" t="s">
        <v>65</v>
      </c>
      <c r="B78" s="1286" t="s">
        <v>664</v>
      </c>
      <c r="C78" s="1286" t="s">
        <v>670</v>
      </c>
      <c r="D78" s="1307">
        <v>16754397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1142873.1020199861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29.11242603550296</v>
      </c>
      <c r="C89" s="330"/>
      <c r="D89" s="330"/>
      <c r="E89" s="330"/>
      <c r="F89" s="330"/>
    </row>
    <row r="90" spans="1:6">
      <c r="A90" s="1291" t="s">
        <v>551</v>
      </c>
      <c r="B90" s="1292">
        <v>0</v>
      </c>
      <c r="C90" s="330"/>
      <c r="D90" s="330"/>
      <c r="E90" s="330"/>
      <c r="F90" s="330"/>
    </row>
    <row r="91" spans="1:6">
      <c r="A91" s="1291" t="s">
        <v>67</v>
      </c>
      <c r="B91" s="1292">
        <v>2915.8962038494328</v>
      </c>
      <c r="C91" s="330"/>
      <c r="D91" s="330"/>
      <c r="E91" s="330"/>
      <c r="F91" s="330"/>
    </row>
    <row r="92" spans="1:6">
      <c r="A92" s="1286" t="s">
        <v>68</v>
      </c>
      <c r="B92" s="1287">
        <v>282.95773800326765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3706</v>
      </c>
      <c r="C97" s="330"/>
      <c r="D97" s="330"/>
      <c r="E97" s="330"/>
      <c r="F97" s="330"/>
    </row>
    <row r="98" spans="1:6">
      <c r="A98" s="1291" t="s">
        <v>71</v>
      </c>
      <c r="B98" s="1292">
        <v>4</v>
      </c>
      <c r="C98" s="330"/>
      <c r="D98" s="330"/>
      <c r="E98" s="330"/>
      <c r="F98" s="330"/>
    </row>
    <row r="99" spans="1:6">
      <c r="A99" s="1291" t="s">
        <v>72</v>
      </c>
      <c r="B99" s="1292">
        <v>74</v>
      </c>
      <c r="C99" s="330"/>
      <c r="D99" s="330"/>
      <c r="E99" s="330"/>
      <c r="F99" s="330"/>
    </row>
    <row r="100" spans="1:6">
      <c r="A100" s="1291" t="s">
        <v>73</v>
      </c>
      <c r="B100" s="1292">
        <v>477</v>
      </c>
      <c r="C100" s="330"/>
      <c r="D100" s="330"/>
      <c r="E100" s="330"/>
      <c r="F100" s="330"/>
    </row>
    <row r="101" spans="1:6">
      <c r="A101" s="1291" t="s">
        <v>74</v>
      </c>
      <c r="B101" s="1292">
        <v>44</v>
      </c>
      <c r="C101" s="330"/>
      <c r="D101" s="330"/>
      <c r="E101" s="330"/>
      <c r="F101" s="330"/>
    </row>
    <row r="102" spans="1:6">
      <c r="A102" s="1291" t="s">
        <v>75</v>
      </c>
      <c r="B102" s="1292">
        <v>114</v>
      </c>
      <c r="C102" s="330"/>
      <c r="D102" s="330"/>
      <c r="E102" s="330"/>
      <c r="F102" s="330"/>
    </row>
    <row r="103" spans="1:6">
      <c r="A103" s="1291" t="s">
        <v>76</v>
      </c>
      <c r="B103" s="1292">
        <v>138</v>
      </c>
      <c r="C103" s="330"/>
      <c r="D103" s="330"/>
      <c r="E103" s="330"/>
      <c r="F103" s="330"/>
    </row>
    <row r="104" spans="1:6">
      <c r="A104" s="1291" t="s">
        <v>77</v>
      </c>
      <c r="B104" s="1292">
        <v>3945</v>
      </c>
      <c r="C104" s="330"/>
      <c r="D104" s="330"/>
      <c r="E104" s="330"/>
      <c r="F104" s="330"/>
    </row>
    <row r="105" spans="1:6">
      <c r="A105" s="1286" t="s">
        <v>78</v>
      </c>
      <c r="B105" s="1295">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24</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172</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79243.053250151526</v>
      </c>
      <c r="C3" s="43" t="s">
        <v>169</v>
      </c>
      <c r="D3" s="43"/>
      <c r="E3" s="154"/>
      <c r="F3" s="43"/>
      <c r="G3" s="43"/>
      <c r="H3" s="43"/>
      <c r="I3" s="43"/>
      <c r="J3" s="43"/>
      <c r="K3" s="96"/>
    </row>
    <row r="4" spans="1:11">
      <c r="A4" s="358" t="s">
        <v>170</v>
      </c>
      <c r="B4" s="49">
        <f>IF(ISERROR('SEAP template'!B78+'SEAP template'!C78),0,'SEAP template'!B78+'SEAP template'!C78)</f>
        <v>3227.9663678882039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0.21199756334411646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2045.8910000000001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2045.8910000000001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0.21199756334411646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433.72390686765777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41089.465056956797</v>
      </c>
      <c r="C5" s="17">
        <f>IF(ISERROR('Eigen informatie GS &amp; warmtenet'!B57),0,'Eigen informatie GS &amp; warmtenet'!B57)</f>
        <v>0</v>
      </c>
      <c r="D5" s="30">
        <f>(SUM(HH_hh_gas_kWh,HH_rest_gas_kWh)/1000)*0.902</f>
        <v>125166.61223403476</v>
      </c>
      <c r="E5" s="17">
        <f>B46*B57</f>
        <v>18422.750966476036</v>
      </c>
      <c r="F5" s="17">
        <f>B51*B62</f>
        <v>37874.65507908741</v>
      </c>
      <c r="G5" s="18"/>
      <c r="H5" s="17"/>
      <c r="I5" s="17"/>
      <c r="J5" s="17">
        <f>B50*B61+C50*C61</f>
        <v>0</v>
      </c>
      <c r="K5" s="17"/>
      <c r="L5" s="17"/>
      <c r="M5" s="17"/>
      <c r="N5" s="17">
        <f>B48*B59+C48*C59</f>
        <v>8753.8174799799926</v>
      </c>
      <c r="O5" s="17">
        <f>B69*B70*B71</f>
        <v>306.41333333333336</v>
      </c>
      <c r="P5" s="17">
        <f>B77*B78*B79/1000-B77*B78*B79/1000/B80</f>
        <v>552.93333333333339</v>
      </c>
    </row>
    <row r="6" spans="1:16">
      <c r="A6" s="16" t="s">
        <v>623</v>
      </c>
      <c r="B6" s="762">
        <f>kWh_PV_kleiner_dan_10kW</f>
        <v>2915.8962038494328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44005.361260806232</v>
      </c>
      <c r="C8" s="21">
        <f>C5</f>
        <v>0</v>
      </c>
      <c r="D8" s="21">
        <f>D5</f>
        <v>125166.61223403476</v>
      </c>
      <c r="E8" s="21">
        <f>E5</f>
        <v>18422.750966476036</v>
      </c>
      <c r="F8" s="21">
        <f>F5</f>
        <v>37874.65507908741</v>
      </c>
      <c r="G8" s="21"/>
      <c r="H8" s="21"/>
      <c r="I8" s="21"/>
      <c r="J8" s="21">
        <f>J5</f>
        <v>0</v>
      </c>
      <c r="K8" s="21"/>
      <c r="L8" s="21">
        <f>L5</f>
        <v>0</v>
      </c>
      <c r="M8" s="21">
        <f>M5</f>
        <v>0</v>
      </c>
      <c r="N8" s="21">
        <f>N5</f>
        <v>8753.8174799799926</v>
      </c>
      <c r="O8" s="21">
        <f>O5</f>
        <v>306.41333333333336</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0.21199756334411646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9329.0293613684971</v>
      </c>
      <c r="C12" s="23">
        <f ca="1">C10*C8</f>
        <v>0</v>
      </c>
      <c r="D12" s="23">
        <f>D8*D10</f>
        <v>25283.655671275024</v>
      </c>
      <c r="E12" s="23">
        <f>E10*E8</f>
        <v>4181.96446939006</v>
      </c>
      <c r="F12" s="23">
        <f>F10*F8</f>
        <v>10112.532906116339</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3706</v>
      </c>
      <c r="C18" s="166" t="s">
        <v>110</v>
      </c>
      <c r="D18" s="228"/>
      <c r="E18" s="15"/>
    </row>
    <row r="19" spans="1:7">
      <c r="A19" s="171" t="s">
        <v>71</v>
      </c>
      <c r="B19" s="37">
        <f>aantalw2001_ander</f>
        <v>4</v>
      </c>
      <c r="C19" s="166" t="s">
        <v>110</v>
      </c>
      <c r="D19" s="229"/>
      <c r="E19" s="15"/>
    </row>
    <row r="20" spans="1:7">
      <c r="A20" s="171" t="s">
        <v>72</v>
      </c>
      <c r="B20" s="37">
        <f>aantalw2001_propaan</f>
        <v>74</v>
      </c>
      <c r="C20" s="167">
        <f>IF(ISERROR(B20/SUM($B$20,$B$21,$B$22)*100),0,B20/SUM($B$20,$B$21,$B$22)*100)</f>
        <v>12.436974789915967</v>
      </c>
      <c r="D20" s="229"/>
      <c r="E20" s="15"/>
    </row>
    <row r="21" spans="1:7">
      <c r="A21" s="171" t="s">
        <v>73</v>
      </c>
      <c r="B21" s="37">
        <f>aantalw2001_elektriciteit</f>
        <v>477</v>
      </c>
      <c r="C21" s="167">
        <f>IF(ISERROR(B21/SUM($B$20,$B$21,$B$22)*100),0,B21/SUM($B$20,$B$21,$B$22)*100)</f>
        <v>80.168067226890756</v>
      </c>
      <c r="D21" s="229"/>
      <c r="E21" s="15"/>
    </row>
    <row r="22" spans="1:7">
      <c r="A22" s="171" t="s">
        <v>74</v>
      </c>
      <c r="B22" s="37">
        <f>aantalw2001_hout</f>
        <v>44</v>
      </c>
      <c r="C22" s="167">
        <f>IF(ISERROR(B22/SUM($B$20,$B$21,$B$22)*100),0,B22/SUM($B$20,$B$21,$B$22)*100)</f>
        <v>7.3949579831932777</v>
      </c>
      <c r="D22" s="229"/>
      <c r="E22" s="15"/>
    </row>
    <row r="23" spans="1:7">
      <c r="A23" s="171" t="s">
        <v>75</v>
      </c>
      <c r="B23" s="37">
        <f>aantalw2001_niet_gespec</f>
        <v>114</v>
      </c>
      <c r="C23" s="166" t="s">
        <v>110</v>
      </c>
      <c r="D23" s="228"/>
      <c r="E23" s="15"/>
    </row>
    <row r="24" spans="1:7">
      <c r="A24" s="171" t="s">
        <v>76</v>
      </c>
      <c r="B24" s="37">
        <f>aantalw2001_steenkool</f>
        <v>138</v>
      </c>
      <c r="C24" s="166" t="s">
        <v>110</v>
      </c>
      <c r="D24" s="229"/>
      <c r="E24" s="15"/>
    </row>
    <row r="25" spans="1:7">
      <c r="A25" s="171" t="s">
        <v>77</v>
      </c>
      <c r="B25" s="37">
        <f>aantalw2001_stookolie</f>
        <v>3945</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695</v>
      </c>
      <c r="B28" s="37">
        <f>aantalHuishoudens</f>
        <v>9727</v>
      </c>
      <c r="C28" s="36"/>
      <c r="D28" s="228"/>
    </row>
    <row r="29" spans="1:7" s="15" customFormat="1">
      <c r="A29" s="230" t="s">
        <v>696</v>
      </c>
      <c r="B29" s="37">
        <f>SUM(HH_hh_gas_aantal,HH_rest_gas_aantal)</f>
        <v>6025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6025</v>
      </c>
      <c r="C32" s="167">
        <f>IF(ISERROR(B32/SUM($B$32,$B$34,$B$35,$B$36,$B$38,$B$39)*100),0,B32/SUM($B$32,$B$34,$B$35,$B$36,$B$38,$B$39)*100)</f>
        <v>62.126211590018563</v>
      </c>
      <c r="D32" s="233"/>
      <c r="G32" s="15"/>
    </row>
    <row r="33" spans="1:7">
      <c r="A33" s="171" t="s">
        <v>71</v>
      </c>
      <c r="B33" s="34" t="s">
        <v>110</v>
      </c>
      <c r="C33" s="167"/>
      <c r="D33" s="233"/>
      <c r="G33" s="15"/>
    </row>
    <row r="34" spans="1:7">
      <c r="A34" s="171" t="s">
        <v>72</v>
      </c>
      <c r="B34" s="33">
        <f>IF((($B$28-$B$32-$B$39-$B$77-$B$38)*C20/100)&lt;0,0,($B$28-$B$32-$B$39-$B$77-$B$38)*C20/100)</f>
        <v>225.74352941176468</v>
      </c>
      <c r="C34" s="167">
        <f>IF(ISERROR(B34/SUM($B$32,$B$34,$B$35,$B$36,$B$38,$B$39)*100),0,B34/SUM($B$32,$B$34,$B$35,$B$36,$B$38,$B$39)*100)</f>
        <v>2.3277328254461196</v>
      </c>
      <c r="D34" s="233"/>
      <c r="G34" s="15"/>
    </row>
    <row r="35" spans="1:7">
      <c r="A35" s="171" t="s">
        <v>73</v>
      </c>
      <c r="B35" s="33">
        <f>IF((($B$28-$B$32-$B$39-$B$77-$B$38)*C21/100)&lt;0,0,($B$28-$B$32-$B$39-$B$77-$B$38)*C21/100)</f>
        <v>1455.130588235294</v>
      </c>
      <c r="C35" s="167">
        <f>IF(ISERROR(B35/SUM($B$32,$B$34,$B$35,$B$36,$B$38,$B$39)*100),0,B35/SUM($B$32,$B$34,$B$35,$B$36,$B$38,$B$39)*100)</f>
        <v>15.004439969429717</v>
      </c>
      <c r="D35" s="233"/>
      <c r="G35" s="15"/>
    </row>
    <row r="36" spans="1:7">
      <c r="A36" s="171" t="s">
        <v>74</v>
      </c>
      <c r="B36" s="33">
        <f>IF((($B$28-$B$32-$B$39-$B$77-$B$38)*C22/100)&lt;0,0,($B$28-$B$32-$B$39-$B$77-$B$38)*C22/100)</f>
        <v>134.22588235294117</v>
      </c>
      <c r="C36" s="167">
        <f>IF(ISERROR(B36/SUM($B$32,$B$34,$B$35,$B$36,$B$38,$B$39)*100),0,B36/SUM($B$32,$B$34,$B$35,$B$36,$B$38,$B$39)*100)</f>
        <v>1.3840573556706659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1857.9</v>
      </c>
      <c r="C39" s="167">
        <f>IF(ISERROR(B39/SUM($B$32,$B$34,$B$35,$B$36,$B$38,$B$39)*100),0,B39/SUM($B$32,$B$34,$B$35,$B$36,$B$38,$B$39)*100)</f>
        <v>19.157558259434936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6025</v>
      </c>
      <c r="C44" s="34" t="s">
        <v>110</v>
      </c>
      <c r="D44" s="174"/>
    </row>
    <row r="45" spans="1:7">
      <c r="A45" s="171" t="s">
        <v>71</v>
      </c>
      <c r="B45" s="33" t="str">
        <f t="shared" si="0"/>
        <v>-</v>
      </c>
      <c r="C45" s="34" t="s">
        <v>110</v>
      </c>
      <c r="D45" s="174"/>
    </row>
    <row r="46" spans="1:7">
      <c r="A46" s="171" t="s">
        <v>72</v>
      </c>
      <c r="B46" s="33">
        <f t="shared" si="0"/>
        <v>225.74352941176468</v>
      </c>
      <c r="C46" s="34" t="s">
        <v>110</v>
      </c>
      <c r="D46" s="174"/>
    </row>
    <row r="47" spans="1:7">
      <c r="A47" s="171" t="s">
        <v>73</v>
      </c>
      <c r="B47" s="33">
        <f t="shared" si="0"/>
        <v>1455.130588235294</v>
      </c>
      <c r="C47" s="34" t="s">
        <v>110</v>
      </c>
      <c r="D47" s="174"/>
    </row>
    <row r="48" spans="1:7">
      <c r="A48" s="171" t="s">
        <v>74</v>
      </c>
      <c r="B48" s="33">
        <f t="shared" si="0"/>
        <v>134.22588235294117</v>
      </c>
      <c r="C48" s="33">
        <f>B48*10</f>
        <v>1342.2588235294118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1857.9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28021.34131046</v>
      </c>
      <c r="C5" s="17">
        <f>IF(ISERROR('Eigen informatie GS &amp; warmtenet'!B58),0,'Eigen informatie GS &amp; warmtenet'!B58)</f>
        <v>0</v>
      </c>
      <c r="D5" s="30">
        <f>SUM(D6:D12)</f>
        <v>38042.24131315366</v>
      </c>
      <c r="E5" s="17">
        <f>SUM(E6:E12)</f>
        <v>531.65406295700996</v>
      </c>
      <c r="F5" s="17">
        <f>SUM(F6:F12)</f>
        <v>7107.0625358933776</v>
      </c>
      <c r="G5" s="18"/>
      <c r="H5" s="17"/>
      <c r="I5" s="17"/>
      <c r="J5" s="17">
        <f>SUM(J6:J12)</f>
        <v>0</v>
      </c>
      <c r="K5" s="17"/>
      <c r="L5" s="17"/>
      <c r="M5" s="17"/>
      <c r="N5" s="17">
        <f>SUM(N6:N12)</f>
        <v>4628.9274136023378</v>
      </c>
      <c r="O5" s="17">
        <f>B38*B39*B40</f>
        <v>1.5633333333333335</v>
      </c>
      <c r="P5" s="17">
        <f>B46*B47*B48/1000-B46*B47*B48/1000/B49</f>
        <v>0</v>
      </c>
      <c r="R5" s="32"/>
    </row>
    <row r="6" spans="1:18">
      <c r="A6" s="32" t="s">
        <v>53</v>
      </c>
      <c r="B6" s="37">
        <f>B26</f>
        <v>6052.7652544000002</v>
      </c>
      <c r="C6" s="33"/>
      <c r="D6" s="37">
        <f>IF(ISERROR(TER_kantoor_gas_kWh/1000),0,TER_kantoor_gas_kWh/1000)*0.902</f>
        <v>10383.176382039999</v>
      </c>
      <c r="E6" s="33">
        <f>$C$26*'E Balans VL '!I12/100/3.6*1000000</f>
        <v>79.2381531057502</v>
      </c>
      <c r="F6" s="33">
        <f>$C$26*('E Balans VL '!L12+'E Balans VL '!N12)/100/3.6*1000000</f>
        <v>1543.3925929322957</v>
      </c>
      <c r="G6" s="34"/>
      <c r="H6" s="33"/>
      <c r="I6" s="33"/>
      <c r="J6" s="33">
        <f>$C$26*('E Balans VL '!D12+'E Balans VL '!E12)/100/3.6*1000000</f>
        <v>0</v>
      </c>
      <c r="K6" s="33"/>
      <c r="L6" s="33"/>
      <c r="M6" s="33"/>
      <c r="N6" s="33">
        <f>$C$26*'E Balans VL '!Y12/100/3.6*1000000</f>
        <v>6.0731476171910801</v>
      </c>
      <c r="O6" s="33"/>
      <c r="P6" s="33"/>
      <c r="R6" s="32"/>
    </row>
    <row r="7" spans="1:18">
      <c r="A7" s="32" t="s">
        <v>52</v>
      </c>
      <c r="B7" s="37">
        <f t="shared" ref="B7:B12" si="0">B27</f>
        <v>3361.7835636999998</v>
      </c>
      <c r="C7" s="33"/>
      <c r="D7" s="37">
        <f>IF(ISERROR(TER_horeca_gas_kWh/1000),0,TER_horeca_gas_kWh/1000)*0.902</f>
        <v>3818.9689722162007</v>
      </c>
      <c r="E7" s="33">
        <f>$C$27*'E Balans VL '!I9/100/3.6*1000000</f>
        <v>111.25458691503439</v>
      </c>
      <c r="F7" s="33">
        <f>$C$27*('E Balans VL '!L9+'E Balans VL '!N9)/100/3.6*1000000</f>
        <v>1445.5540484757776</v>
      </c>
      <c r="G7" s="34"/>
      <c r="H7" s="33"/>
      <c r="I7" s="33"/>
      <c r="J7" s="33">
        <f>$C$27*('E Balans VL '!D9+'E Balans VL '!E9)/100/3.6*1000000</f>
        <v>0</v>
      </c>
      <c r="K7" s="33"/>
      <c r="L7" s="33"/>
      <c r="M7" s="33"/>
      <c r="N7" s="33">
        <f>$C$27*'E Balans VL '!Y9/100/3.6*1000000</f>
        <v>0.80923012223731494</v>
      </c>
      <c r="O7" s="33"/>
      <c r="P7" s="33"/>
      <c r="R7" s="32"/>
    </row>
    <row r="8" spans="1:18">
      <c r="A8" s="6" t="s">
        <v>51</v>
      </c>
      <c r="B8" s="37">
        <f t="shared" si="0"/>
        <v>8094.2938811999993</v>
      </c>
      <c r="C8" s="33"/>
      <c r="D8" s="37">
        <f>IF(ISERROR(TER_handel_gas_kWh/1000),0,TER_handel_gas_kWh/1000)*0.902</f>
        <v>6102.2896573869994</v>
      </c>
      <c r="E8" s="33">
        <f>$C$28*'E Balans VL '!I13/100/3.6*1000000</f>
        <v>255.46828260357788</v>
      </c>
      <c r="F8" s="33">
        <f>$C$28*('E Balans VL '!L13+'E Balans VL '!N13)/100/3.6*1000000</f>
        <v>1587.4335617694173</v>
      </c>
      <c r="G8" s="34"/>
      <c r="H8" s="33"/>
      <c r="I8" s="33"/>
      <c r="J8" s="33">
        <f>$C$28*('E Balans VL '!D13+'E Balans VL '!E13)/100/3.6*1000000</f>
        <v>0</v>
      </c>
      <c r="K8" s="33"/>
      <c r="L8" s="33"/>
      <c r="M8" s="33"/>
      <c r="N8" s="33">
        <f>$C$28*'E Balans VL '!Y13/100/3.6*1000000</f>
        <v>9.6063553491196814</v>
      </c>
      <c r="O8" s="33"/>
      <c r="P8" s="33"/>
      <c r="R8" s="32"/>
    </row>
    <row r="9" spans="1:18">
      <c r="A9" s="32" t="s">
        <v>50</v>
      </c>
      <c r="B9" s="37">
        <f t="shared" si="0"/>
        <v>547.45310075999998</v>
      </c>
      <c r="C9" s="33"/>
      <c r="D9" s="37">
        <f>IF(ISERROR(TER_gezond_gas_kWh/1000),0,TER_gezond_gas_kWh/1000)*0.902</f>
        <v>1244.9539420868002</v>
      </c>
      <c r="E9" s="33">
        <f>$C$29*'E Balans VL '!I10/100/3.6*1000000</f>
        <v>7.0090012282391367E-2</v>
      </c>
      <c r="F9" s="33">
        <f>$C$29*('E Balans VL '!L10+'E Balans VL '!N10)/100/3.6*1000000</f>
        <v>114.05742675059726</v>
      </c>
      <c r="G9" s="34"/>
      <c r="H9" s="33"/>
      <c r="I9" s="33"/>
      <c r="J9" s="33">
        <f>$C$29*('E Balans VL '!D10+'E Balans VL '!E10)/100/3.6*1000000</f>
        <v>0</v>
      </c>
      <c r="K9" s="33"/>
      <c r="L9" s="33"/>
      <c r="M9" s="33"/>
      <c r="N9" s="33">
        <f>$C$29*'E Balans VL '!Y10/100/3.6*1000000</f>
        <v>6.4300954287797616</v>
      </c>
      <c r="O9" s="33"/>
      <c r="P9" s="33"/>
      <c r="R9" s="32"/>
    </row>
    <row r="10" spans="1:18">
      <c r="A10" s="32" t="s">
        <v>49</v>
      </c>
      <c r="B10" s="37">
        <f t="shared" si="0"/>
        <v>5353.3681021000002</v>
      </c>
      <c r="C10" s="33"/>
      <c r="D10" s="37">
        <f>IF(ISERROR(TER_ander_gas_kWh/1000),0,TER_ander_gas_kWh/1000)*0.902</f>
        <v>7744.8868432804002</v>
      </c>
      <c r="E10" s="33">
        <f>$C$30*'E Balans VL '!I14/100/3.6*1000000</f>
        <v>8.0502066976013129</v>
      </c>
      <c r="F10" s="33">
        <f>$C$30*('E Balans VL '!L14+'E Balans VL '!N14)/100/3.6*1000000</f>
        <v>1181.8511132803826</v>
      </c>
      <c r="G10" s="34"/>
      <c r="H10" s="33"/>
      <c r="I10" s="33"/>
      <c r="J10" s="33">
        <f>$C$30*('E Balans VL '!D14+'E Balans VL '!E14)/100/3.6*1000000</f>
        <v>0</v>
      </c>
      <c r="K10" s="33"/>
      <c r="L10" s="33"/>
      <c r="M10" s="33"/>
      <c r="N10" s="33">
        <f>$C$30*'E Balans VL '!Y14/100/3.6*1000000</f>
        <v>4218.8143325446108</v>
      </c>
      <c r="O10" s="33"/>
      <c r="P10" s="33"/>
      <c r="R10" s="32"/>
    </row>
    <row r="11" spans="1:18">
      <c r="A11" s="32" t="s">
        <v>54</v>
      </c>
      <c r="B11" s="37">
        <f t="shared" si="0"/>
        <v>228.63429389999999</v>
      </c>
      <c r="C11" s="33"/>
      <c r="D11" s="37">
        <f>IF(ISERROR(TER_onderwijs_gas_kWh/1000),0,TER_onderwijs_gas_kWh/1000)*0.902</f>
        <v>487.30334974926001</v>
      </c>
      <c r="E11" s="33">
        <f>$C$31*'E Balans VL '!I11/100/3.6*1000000</f>
        <v>0.40264415104550139</v>
      </c>
      <c r="F11" s="33">
        <f>$C$31*('E Balans VL '!L11+'E Balans VL '!N11)/100/3.6*1000000</f>
        <v>105.56459062433561</v>
      </c>
      <c r="G11" s="34"/>
      <c r="H11" s="33"/>
      <c r="I11" s="33"/>
      <c r="J11" s="33">
        <f>$C$31*('E Balans VL '!D11+'E Balans VL '!E11)/100/3.6*1000000</f>
        <v>0</v>
      </c>
      <c r="K11" s="33"/>
      <c r="L11" s="33"/>
      <c r="M11" s="33"/>
      <c r="N11" s="33">
        <f>$C$31*'E Balans VL '!Y11/100/3.6*1000000</f>
        <v>0.42594885126875603</v>
      </c>
      <c r="O11" s="33"/>
      <c r="P11" s="33"/>
      <c r="R11" s="32"/>
    </row>
    <row r="12" spans="1:18">
      <c r="A12" s="32" t="s">
        <v>259</v>
      </c>
      <c r="B12" s="37">
        <f t="shared" si="0"/>
        <v>4383.0431144000004</v>
      </c>
      <c r="C12" s="33"/>
      <c r="D12" s="37">
        <f>IF(ISERROR(TER_rest_gas_kWh/1000),0,TER_rest_gas_kWh/1000)*0.902</f>
        <v>8260.6621663940005</v>
      </c>
      <c r="E12" s="33">
        <f>$C$32*'E Balans VL '!I8/100/3.6*1000000</f>
        <v>77.170099471718231</v>
      </c>
      <c r="F12" s="33">
        <f>$C$32*('E Balans VL '!L8+'E Balans VL '!N8)/100/3.6*1000000</f>
        <v>1129.2092020605721</v>
      </c>
      <c r="G12" s="34"/>
      <c r="H12" s="33"/>
      <c r="I12" s="33"/>
      <c r="J12" s="33">
        <f>$C$32*('E Balans VL '!D8+'E Balans VL '!E8)/100/3.6*1000000</f>
        <v>0</v>
      </c>
      <c r="K12" s="33"/>
      <c r="L12" s="33"/>
      <c r="M12" s="33"/>
      <c r="N12" s="33">
        <f>$C$32*'E Balans VL '!Y8/100/3.6*1000000</f>
        <v>386.76830368912999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28021.34131046</v>
      </c>
      <c r="C16" s="21">
        <f t="shared" ca="1" si="1"/>
        <v>0</v>
      </c>
      <c r="D16" s="21">
        <f t="shared" ca="1" si="1"/>
        <v>38042.24131315366</v>
      </c>
      <c r="E16" s="21">
        <f t="shared" si="1"/>
        <v>531.65406295700996</v>
      </c>
      <c r="F16" s="21">
        <f t="shared" ca="1" si="1"/>
        <v>7107.0625358933776</v>
      </c>
      <c r="G16" s="21">
        <f t="shared" si="1"/>
        <v>0</v>
      </c>
      <c r="H16" s="21">
        <f t="shared" si="1"/>
        <v>0</v>
      </c>
      <c r="I16" s="21">
        <f t="shared" si="1"/>
        <v>0</v>
      </c>
      <c r="J16" s="21">
        <f t="shared" si="1"/>
        <v>0</v>
      </c>
      <c r="K16" s="21">
        <f t="shared" si="1"/>
        <v>0</v>
      </c>
      <c r="L16" s="21">
        <f t="shared" ca="1" si="1"/>
        <v>0</v>
      </c>
      <c r="M16" s="21">
        <f t="shared" si="1"/>
        <v>0</v>
      </c>
      <c r="N16" s="21">
        <f t="shared" ca="1" si="1"/>
        <v>4628.9274136023378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0.21199756334411646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5940.4560794513509</v>
      </c>
      <c r="C20" s="23">
        <f t="shared" ref="C20:P20" ca="1" si="2">C16*C18</f>
        <v>0</v>
      </c>
      <c r="D20" s="23">
        <f t="shared" ca="1" si="2"/>
        <v>7684.53274525704</v>
      </c>
      <c r="E20" s="23">
        <f t="shared" si="2"/>
        <v>120.68547229124127</v>
      </c>
      <c r="F20" s="23">
        <f t="shared" ca="1" si="2"/>
        <v>1897.5856970835318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6052.7652544000002</v>
      </c>
      <c r="C26" s="39">
        <f>IF(ISERROR(B26*3.6/1000000/'E Balans VL '!Z12*100),0,B26*3.6/1000000/'E Balans VL '!Z12*100)</f>
        <v>0.12965493395947228</v>
      </c>
      <c r="D26" s="237" t="s">
        <v>659</v>
      </c>
      <c r="F26" s="6"/>
    </row>
    <row r="27" spans="1:18">
      <c r="A27" s="231" t="s">
        <v>52</v>
      </c>
      <c r="B27" s="33">
        <f>IF(ISERROR(TER_horeca_ele_kWh/1000),0,TER_horeca_ele_kWh/1000)</f>
        <v>3361.7835636999998</v>
      </c>
      <c r="C27" s="39">
        <f>IF(ISERROR(B27*3.6/1000000/'E Balans VL '!Z9*100),0,B27*3.6/1000000/'E Balans VL '!Z9*100)</f>
        <v>0.26977144554653276</v>
      </c>
      <c r="D27" s="237" t="s">
        <v>659</v>
      </c>
      <c r="F27" s="6"/>
    </row>
    <row r="28" spans="1:18">
      <c r="A28" s="171" t="s">
        <v>51</v>
      </c>
      <c r="B28" s="33">
        <f>IF(ISERROR(TER_handel_ele_kWh/1000),0,TER_handel_ele_kWh/1000)</f>
        <v>8094.2938811999993</v>
      </c>
      <c r="C28" s="39">
        <f>IF(ISERROR(B28*3.6/1000000/'E Balans VL '!Z13*100),0,B28*3.6/1000000/'E Balans VL '!Z13*100)</f>
        <v>0.2387352424775207</v>
      </c>
      <c r="D28" s="237" t="s">
        <v>659</v>
      </c>
      <c r="F28" s="6"/>
    </row>
    <row r="29" spans="1:18">
      <c r="A29" s="231" t="s">
        <v>50</v>
      </c>
      <c r="B29" s="33">
        <f>IF(ISERROR(TER_gezond_ele_kWh/1000),0,TER_gezond_ele_kWh/1000)</f>
        <v>547.45310075999998</v>
      </c>
      <c r="C29" s="39">
        <f>IF(ISERROR(B29*3.6/1000000/'E Balans VL '!Z10*100),0,B29*3.6/1000000/'E Balans VL '!Z10*100)</f>
        <v>5.8453313393124852E-2</v>
      </c>
      <c r="D29" s="237" t="s">
        <v>659</v>
      </c>
      <c r="F29" s="6"/>
    </row>
    <row r="30" spans="1:18">
      <c r="A30" s="231" t="s">
        <v>49</v>
      </c>
      <c r="B30" s="33">
        <f>IF(ISERROR(TER_ander_ele_kWh/1000),0,TER_ander_ele_kWh/1000)</f>
        <v>5353.3681021000002</v>
      </c>
      <c r="C30" s="39">
        <f>IF(ISERROR(B30*3.6/1000000/'E Balans VL '!Z14*100),0,B30*3.6/1000000/'E Balans VL '!Z14*100)</f>
        <v>0.40436091458019918</v>
      </c>
      <c r="D30" s="237" t="s">
        <v>659</v>
      </c>
      <c r="F30" s="6"/>
    </row>
    <row r="31" spans="1:18">
      <c r="A31" s="231" t="s">
        <v>54</v>
      </c>
      <c r="B31" s="33">
        <f>IF(ISERROR(TER_onderwijs_ele_kWh/1000),0,TER_onderwijs_ele_kWh/1000)</f>
        <v>228.63429389999999</v>
      </c>
      <c r="C31" s="39">
        <f>IF(ISERROR(B31*3.6/1000000/'E Balans VL '!Z11*100),0,B31*3.6/1000000/'E Balans VL '!Z11*100)</f>
        <v>4.616889634077561E-2</v>
      </c>
      <c r="D31" s="237" t="s">
        <v>659</v>
      </c>
    </row>
    <row r="32" spans="1:18">
      <c r="A32" s="231" t="s">
        <v>259</v>
      </c>
      <c r="B32" s="33">
        <f>IF(ISERROR(TER_rest_ele_kWh/1000),0,TER_rest_ele_kWh/1000)</f>
        <v>4383.0431144000004</v>
      </c>
      <c r="C32" s="39">
        <f>IF(ISERROR(B32*3.6/1000000/'E Balans VL '!Z8*100),0,B32*3.6/1000000/'E Balans VL '!Z8*100)</f>
        <v>3.6341530761882547E-2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3052.6567916860004</v>
      </c>
      <c r="C5" s="17">
        <f>IF(ISERROR('Eigen informatie GS &amp; warmtenet'!B59),0,'Eigen informatie GS &amp; warmtenet'!B59)</f>
        <v>0</v>
      </c>
      <c r="D5" s="30">
        <f>SUM(D6:D15)</f>
        <v>3491.99839347744</v>
      </c>
      <c r="E5" s="17">
        <f>SUM(E6:E15)</f>
        <v>425.52549270593886</v>
      </c>
      <c r="F5" s="17">
        <f>SUM(F6:F15)</f>
        <v>1542.0336123520926</v>
      </c>
      <c r="G5" s="18"/>
      <c r="H5" s="17"/>
      <c r="I5" s="17"/>
      <c r="J5" s="17">
        <f>SUM(J6:J15)</f>
        <v>32.343612069976565</v>
      </c>
      <c r="K5" s="17"/>
      <c r="L5" s="17"/>
      <c r="M5" s="17"/>
      <c r="N5" s="17">
        <f>SUM(N6:N15)</f>
        <v>392.85566949078679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76.802487536000001</v>
      </c>
      <c r="C8" s="33"/>
      <c r="D8" s="37">
        <f>IF( ISERROR(IND_metaal_Gas_kWH/1000),0,IND_metaal_Gas_kWH/1000)*0.902</f>
        <v>0</v>
      </c>
      <c r="E8" s="33">
        <f>C30*'E Balans VL '!I18/100/3.6*1000000</f>
        <v>2.763585844820164</v>
      </c>
      <c r="F8" s="33">
        <f>C30*'E Balans VL '!L18/100/3.6*1000000+C30*'E Balans VL '!N18/100/3.6*1000000</f>
        <v>33.537156638188428</v>
      </c>
      <c r="G8" s="34"/>
      <c r="H8" s="33"/>
      <c r="I8" s="33"/>
      <c r="J8" s="40">
        <f>C30*'E Balans VL '!D18/100/3.6*1000000+C30*'E Balans VL '!E18/100/3.6*1000000</f>
        <v>0</v>
      </c>
      <c r="K8" s="33"/>
      <c r="L8" s="33"/>
      <c r="M8" s="33"/>
      <c r="N8" s="33">
        <f>C30*'E Balans VL '!Y18/100/3.6*1000000</f>
        <v>3.8492884824837077</v>
      </c>
      <c r="O8" s="33"/>
      <c r="P8" s="33"/>
      <c r="R8" s="32"/>
    </row>
    <row r="9" spans="1:18">
      <c r="A9" s="6" t="s">
        <v>32</v>
      </c>
      <c r="B9" s="37">
        <f t="shared" si="0"/>
        <v>1449.4696437</v>
      </c>
      <c r="C9" s="33"/>
      <c r="D9" s="37">
        <f>IF( ISERROR(IND_andere_gas_kWh/1000),0,IND_andere_gas_kWh/1000)*0.902</f>
        <v>1558.2199327001999</v>
      </c>
      <c r="E9" s="33">
        <f>C31*'E Balans VL '!I19/100/3.6*1000000</f>
        <v>369.8718579029927</v>
      </c>
      <c r="F9" s="33">
        <f>C31*'E Balans VL '!L19/100/3.6*1000000+C31*'E Balans VL '!N19/100/3.6*1000000</f>
        <v>1247.8844168518083</v>
      </c>
      <c r="G9" s="34"/>
      <c r="H9" s="33"/>
      <c r="I9" s="33"/>
      <c r="J9" s="40">
        <f>C31*'E Balans VL '!D19/100/3.6*1000000+C31*'E Balans VL '!E19/100/3.6*1000000</f>
        <v>0</v>
      </c>
      <c r="K9" s="33"/>
      <c r="L9" s="33"/>
      <c r="M9" s="33"/>
      <c r="N9" s="33">
        <f>C31*'E Balans VL '!Y19/100/3.6*1000000</f>
        <v>114.34619360537371</v>
      </c>
      <c r="O9" s="33"/>
      <c r="P9" s="33"/>
      <c r="R9" s="32"/>
    </row>
    <row r="10" spans="1:18">
      <c r="A10" s="6" t="s">
        <v>40</v>
      </c>
      <c r="B10" s="37">
        <f t="shared" si="0"/>
        <v>363.38551580000001</v>
      </c>
      <c r="C10" s="33"/>
      <c r="D10" s="37">
        <f>IF( ISERROR(IND_voed_gas_kWh/1000),0,IND_voed_gas_kWh/1000)*0.902</f>
        <v>299.16318383885999</v>
      </c>
      <c r="E10" s="33">
        <f>C32*'E Balans VL '!I20/100/3.6*1000000</f>
        <v>9.2377587808388775</v>
      </c>
      <c r="F10" s="33">
        <f>C32*'E Balans VL '!L20/100/3.6*1000000+C32*'E Balans VL '!N20/100/3.6*1000000</f>
        <v>82.228687338518085</v>
      </c>
      <c r="G10" s="34"/>
      <c r="H10" s="33"/>
      <c r="I10" s="33"/>
      <c r="J10" s="40">
        <f>C32*'E Balans VL '!D20/100/3.6*1000000+C32*'E Balans VL '!E20/100/3.6*1000000</f>
        <v>0</v>
      </c>
      <c r="K10" s="33"/>
      <c r="L10" s="33"/>
      <c r="M10" s="33"/>
      <c r="N10" s="33">
        <f>C32*'E Balans VL '!Y20/100/3.6*1000000</f>
        <v>136.27941837684045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389.46390808000001</v>
      </c>
      <c r="C13" s="33"/>
      <c r="D13" s="37">
        <f>IF( ISERROR(IND_papier_gas_kWh/1000),0,IND_papier_gas_kWh/1000)*0.902</f>
        <v>146.81871128078001</v>
      </c>
      <c r="E13" s="33">
        <f>C35*'E Balans VL '!I23/100/3.6*1000000</f>
        <v>1.6702973997782005</v>
      </c>
      <c r="F13" s="33">
        <f>C35*'E Balans VL '!L23/100/3.6*1000000+C35*'E Balans VL '!N23/100/3.6*1000000</f>
        <v>9.7884368290676083</v>
      </c>
      <c r="G13" s="34"/>
      <c r="H13" s="33"/>
      <c r="I13" s="33"/>
      <c r="J13" s="40">
        <f>C35*'E Balans VL '!D23/100/3.6*1000000+C35*'E Balans VL '!E23/100/3.6*1000000</f>
        <v>26.072472524291598</v>
      </c>
      <c r="K13" s="33"/>
      <c r="L13" s="33"/>
      <c r="M13" s="33"/>
      <c r="N13" s="33">
        <f>C35*'E Balans VL '!Y23/100/3.6*1000000</f>
        <v>94.976090499238296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773.53523656999994</v>
      </c>
      <c r="C15" s="33"/>
      <c r="D15" s="37">
        <f>IF( ISERROR(IND_rest_gas_kWh/1000),0,IND_rest_gas_kWh/1000)*0.902</f>
        <v>1487.7965656576</v>
      </c>
      <c r="E15" s="33">
        <f>C37*'E Balans VL '!I15/100/3.6*1000000</f>
        <v>41.981992777508964</v>
      </c>
      <c r="F15" s="33">
        <f>C37*'E Balans VL '!L15/100/3.6*1000000+C37*'E Balans VL '!N15/100/3.6*1000000</f>
        <v>168.59491469451024</v>
      </c>
      <c r="G15" s="34"/>
      <c r="H15" s="33"/>
      <c r="I15" s="33"/>
      <c r="J15" s="40">
        <f>C37*'E Balans VL '!D15/100/3.6*1000000+C37*'E Balans VL '!E15/100/3.6*1000000</f>
        <v>6.2711395456849672</v>
      </c>
      <c r="K15" s="33"/>
      <c r="L15" s="33"/>
      <c r="M15" s="33"/>
      <c r="N15" s="33">
        <f>C37*'E Balans VL '!Y15/100/3.6*1000000</f>
        <v>43.404678526850631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3052.6567916860004</v>
      </c>
      <c r="C18" s="21">
        <f>C5+C16</f>
        <v>0</v>
      </c>
      <c r="D18" s="21">
        <f>MAX((D5+D16),0)</f>
        <v>3491.99839347744</v>
      </c>
      <c r="E18" s="21">
        <f>MAX((E5+E16),0)</f>
        <v>425.52549270593886</v>
      </c>
      <c r="F18" s="21">
        <f>MAX((F5+F16),0)</f>
        <v>1542.0336123520926</v>
      </c>
      <c r="G18" s="21"/>
      <c r="H18" s="21"/>
      <c r="I18" s="21"/>
      <c r="J18" s="21">
        <f>MAX((J5+J16),0)</f>
        <v>32.343612069976565</v>
      </c>
      <c r="K18" s="21"/>
      <c r="L18" s="21">
        <f>MAX((L5+L16),0)</f>
        <v>0</v>
      </c>
      <c r="M18" s="21"/>
      <c r="N18" s="21">
        <f>MAX((N5+N16),0)</f>
        <v>392.85566949078679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0.21199756334411646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647.1558015633002</v>
      </c>
      <c r="C22" s="23">
        <f ca="1">C18*C20</f>
        <v>0</v>
      </c>
      <c r="D22" s="23">
        <f>D18*D20</f>
        <v>705.38367548244298</v>
      </c>
      <c r="E22" s="23">
        <f>E18*E20</f>
        <v>96.594286844248117</v>
      </c>
      <c r="F22" s="23">
        <f>F18*F20</f>
        <v>411.72297449800874</v>
      </c>
      <c r="G22" s="23"/>
      <c r="H22" s="23"/>
      <c r="I22" s="23"/>
      <c r="J22" s="23">
        <f>J18*J20</f>
        <v>11.449638672771703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76.802487536000001</v>
      </c>
      <c r="C30" s="39">
        <f>IF(ISERROR(B30*3.6/1000000/'E Balans VL '!Z18*100),0,B30*3.6/1000000/'E Balans VL '!Z18*100)</f>
        <v>1.6272800506942714E-2</v>
      </c>
      <c r="D30" s="237" t="s">
        <v>659</v>
      </c>
    </row>
    <row r="31" spans="1:18">
      <c r="A31" s="6" t="s">
        <v>32</v>
      </c>
      <c r="B31" s="37">
        <f>IF( ISERROR(IND_ander_ele_kWh/1000),0,IND_ander_ele_kWh/1000)</f>
        <v>1449.4696437</v>
      </c>
      <c r="C31" s="39">
        <f>IF(ISERROR(B31*3.6/1000000/'E Balans VL '!Z19*100),0,B31*3.6/1000000/'E Balans VL '!Z19*100)</f>
        <v>6.1011468563518925E-2</v>
      </c>
      <c r="D31" s="237" t="s">
        <v>659</v>
      </c>
    </row>
    <row r="32" spans="1:18">
      <c r="A32" s="171" t="s">
        <v>40</v>
      </c>
      <c r="B32" s="37">
        <f>IF( ISERROR(IND_voed_ele_kWh/1000),0,IND_voed_ele_kWh/1000)</f>
        <v>363.38551580000001</v>
      </c>
      <c r="C32" s="39">
        <f>IF(ISERROR(B32*3.6/1000000/'E Balans VL '!Z20*100),0,B32*3.6/1000000/'E Balans VL '!Z20*100)</f>
        <v>6.0707661838731199E-2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389.46390808000001</v>
      </c>
      <c r="C35" s="39">
        <f>IF(ISERROR(B35*3.6/1000000/'E Balans VL '!Z22*100),0,B35*3.6/1000000/'E Balans VL '!Z22*100)</f>
        <v>4.9366650721792901E-2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773.53523656999994</v>
      </c>
      <c r="C37" s="39">
        <f>IF(ISERROR(B37*3.6/1000000/'E Balans VL '!Z15*100),0,B37*3.6/1000000/'E Balans VL '!Z15*100)</f>
        <v>6.2450494914016328E-3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528.25793770200005</v>
      </c>
      <c r="C5" s="17">
        <f>'Eigen informatie GS &amp; warmtenet'!B60</f>
        <v>0</v>
      </c>
      <c r="D5" s="30">
        <f>IF(ISERROR(SUM(LB_lb_gas_kWh,LB_rest_gas_kWh)/1000),0,SUM(LB_lb_gas_kWh,LB_rest_gas_kWh)/1000)*0.902</f>
        <v>1193.8141542630599</v>
      </c>
      <c r="E5" s="17">
        <f>B17*'E Balans VL '!I25/3.6*1000000/100</f>
        <v>13.621743937352441</v>
      </c>
      <c r="F5" s="17">
        <f>B17*('E Balans VL '!L25/3.6*1000000+'E Balans VL '!N25/3.6*1000000)/100</f>
        <v>1930.8833641380961</v>
      </c>
      <c r="G5" s="18"/>
      <c r="H5" s="17"/>
      <c r="I5" s="17"/>
      <c r="J5" s="17">
        <f>('E Balans VL '!D25+'E Balans VL '!E25)/3.6*1000000*landbouw!B17/100</f>
        <v>76.0497101854871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528.25793770200005</v>
      </c>
      <c r="C8" s="21">
        <f>C5+C6</f>
        <v>0</v>
      </c>
      <c r="D8" s="21">
        <f>MAX((D5+D6),0)</f>
        <v>1193.8141542630599</v>
      </c>
      <c r="E8" s="21">
        <f>MAX((E5+E6),0)</f>
        <v>13.621743937352441</v>
      </c>
      <c r="F8" s="21">
        <f>MAX((F5+F6),0)</f>
        <v>1930.8833641380961</v>
      </c>
      <c r="G8" s="21"/>
      <c r="H8" s="21"/>
      <c r="I8" s="21"/>
      <c r="J8" s="21">
        <f>MAX((J5+J6),0)</f>
        <v>76.0497101854871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0.21199756334411646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111.98939561001208</v>
      </c>
      <c r="C12" s="23">
        <f ca="1">C8*C10</f>
        <v>0</v>
      </c>
      <c r="D12" s="23">
        <f>D8*D10</f>
        <v>241.15045916113812</v>
      </c>
      <c r="E12" s="23">
        <f>E8*E10</f>
        <v>3.0921358737790041</v>
      </c>
      <c r="F12" s="23">
        <f>F8*F10</f>
        <v>515.54585822487172</v>
      </c>
      <c r="G12" s="23"/>
      <c r="H12" s="23"/>
      <c r="I12" s="23"/>
      <c r="J12" s="23">
        <f>J8*J10</f>
        <v>26.921597405662432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7.4487868318101433E-2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47.84993858222122</v>
      </c>
      <c r="C26" s="247">
        <f>B26*'GWP N2O_CH4'!B5</f>
        <v>1004.8487102266456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6.4410938852380584</v>
      </c>
      <c r="C27" s="247">
        <f>B27*'GWP N2O_CH4'!B5</f>
        <v>135.26297158999924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0.57356883817869686</v>
      </c>
      <c r="C28" s="247">
        <f>B28*'GWP N2O_CH4'!B4</f>
        <v>177.80633983539602</v>
      </c>
      <c r="D28" s="50"/>
    </row>
    <row r="29" spans="1:4">
      <c r="A29" s="41" t="s">
        <v>276</v>
      </c>
      <c r="B29" s="247">
        <f>B34*'ha_N2O bodem landbouw'!B4</f>
        <v>10.273039905836965</v>
      </c>
      <c r="C29" s="247">
        <f>B29*'GWP N2O_CH4'!B4</f>
        <v>3184.6423708094594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2.3119922320410493E-3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2.633822024302317E-4</v>
      </c>
      <c r="C5" s="437" t="s">
        <v>210</v>
      </c>
      <c r="D5" s="422">
        <f>SUM(D6:D11)</f>
        <v>5.2234924634916293E-4</v>
      </c>
      <c r="E5" s="422">
        <f>SUM(E6:E11)</f>
        <v>2.6596878436093143E-3</v>
      </c>
      <c r="F5" s="435" t="s">
        <v>210</v>
      </c>
      <c r="G5" s="422">
        <f>SUM(G6:G11)</f>
        <v>0.86845677479367955</v>
      </c>
      <c r="H5" s="422">
        <f>SUM(H6:H11)</f>
        <v>0.182818717719928</v>
      </c>
      <c r="I5" s="437" t="s">
        <v>210</v>
      </c>
      <c r="J5" s="437" t="s">
        <v>210</v>
      </c>
      <c r="K5" s="437" t="s">
        <v>210</v>
      </c>
      <c r="L5" s="437" t="s">
        <v>210</v>
      </c>
      <c r="M5" s="422">
        <f>SUM(M6:M11)</f>
        <v>3.2800706599674753E-2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6.4964027899256198E-5</v>
      </c>
      <c r="C6" s="423"/>
      <c r="D6" s="865">
        <f>vkm_GW_PW*SUMIFS(TableVerdeelsleutelVkm[CNG],TableVerdeelsleutelVkm[Voertuigtype],"Lichte voertuigen")*SUMIFS(TableECFTransport[EnergieConsumptieFactor (PJ per km)],TableECFTransport[Index],CONCATENATE($A6,"_CNG_CNG"))</f>
        <v>1.1710913758129867E-4</v>
      </c>
      <c r="E6" s="865">
        <f>vkm_GW_PW*SUMIFS(TableVerdeelsleutelVkm[LPG],TableVerdeelsleutelVkm[Voertuigtype],"Lichte voertuigen")*SUMIFS(TableECFTransport[EnergieConsumptieFactor (PJ per km)],TableECFTransport[Index],CONCATENATE($A6,"_LPG_LPG"))</f>
        <v>5.2903189593505847E-4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0.14453079187676768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4.0209986189571938E-2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5.752050022105549E-3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3.0223616431872369E-2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5.4537957342715672E-7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9.508366671820372E-4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3.6365377807204001E-5</v>
      </c>
      <c r="C8" s="423"/>
      <c r="D8" s="425">
        <f>vkm_NGW_PW*SUMIFS(TableVerdeelsleutelVkm[CNG],TableVerdeelsleutelVkm[Voertuigtype],"Lichte voertuigen")*SUMIFS(TableECFTransport[EnergieConsumptieFactor (PJ per km)],TableECFTransport[Index],CONCATENATE($A8,"_CNG_CNG"))</f>
        <v>1.1142467024260081E-4</v>
      </c>
      <c r="E8" s="425">
        <f>vkm_NGW_PW*SUMIFS(TableVerdeelsleutelVkm[LPG],TableVerdeelsleutelVkm[Voertuigtype],"Lichte voertuigen")*SUMIFS(TableECFTransport[EnergieConsumptieFactor (PJ per km)],TableECFTransport[Index],CONCATENATE($A8,"_LPG_LPG"))</f>
        <v>4.7778938816331703E-4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0.12256381209376446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3.7178110511544016E-2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4.9701075312612022E-3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1.2102492614387211E-2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2.6959019746293648E-7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3.8074663073879708E-4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1.620527967237715E-4</v>
      </c>
      <c r="C10" s="423"/>
      <c r="D10" s="425">
        <f>vkm_SW_PW*SUMIFS(TableVerdeelsleutelVkm[CNG],TableVerdeelsleutelVkm[Voertuigtype],"Lichte voertuigen")*SUMIFS(TableECFTransport[EnergieConsumptieFactor (PJ per km)],TableECFTransport[Index],CONCATENATE($A10,"_CNG_CNG"))</f>
        <v>2.9381543852526352E-4</v>
      </c>
      <c r="E10" s="425">
        <f>vkm_SW_PW*SUMIFS(TableVerdeelsleutelVkm[LPG],TableVerdeelsleutelVkm[Voertuigtype],"Lichte voertuigen")*SUMIFS(TableECFTransport[EnergieConsumptieFactor (PJ per km)],TableECFTransport[Index],CONCATENATE($A10,"_LPG_LPG"))</f>
        <v>1.6528665595109391E-3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0.40526717948833085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0.1054268420722639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1.5909382419708903E-2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0.15376888228855698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2.9639767772614971E-6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4.8375833286782646E-3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73.16172289728658</v>
      </c>
      <c r="C14" s="21"/>
      <c r="D14" s="21">
        <f t="shared" ref="D14:M14" si="0">((D5)*10^9/3600)+D12</f>
        <v>145.09701287476747</v>
      </c>
      <c r="E14" s="21">
        <f t="shared" si="0"/>
        <v>738.80217878036513</v>
      </c>
      <c r="F14" s="21"/>
      <c r="G14" s="21">
        <f t="shared" si="0"/>
        <v>241237.99299824433</v>
      </c>
      <c r="H14" s="21">
        <f t="shared" si="0"/>
        <v>50782.977144424447</v>
      </c>
      <c r="I14" s="21"/>
      <c r="J14" s="21"/>
      <c r="K14" s="21"/>
      <c r="L14" s="21"/>
      <c r="M14" s="21">
        <f t="shared" si="0"/>
        <v>9111.3073887985429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0.21199756334411646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15.510106984282208</v>
      </c>
      <c r="C18" s="23"/>
      <c r="D18" s="23">
        <f t="shared" ref="D18:M18" si="1">D14*D16</f>
        <v>29.309596600703031</v>
      </c>
      <c r="E18" s="23">
        <f t="shared" si="1"/>
        <v>167.70809458314289</v>
      </c>
      <c r="F18" s="23"/>
      <c r="G18" s="23">
        <f t="shared" si="1"/>
        <v>64410.544130531242</v>
      </c>
      <c r="H18" s="23">
        <f t="shared" si="1"/>
        <v>12644.961308961687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1.4707781508154006E-2</v>
      </c>
      <c r="H50" s="319">
        <f t="shared" si="2"/>
        <v>0</v>
      </c>
      <c r="I50" s="319">
        <f t="shared" si="2"/>
        <v>0</v>
      </c>
      <c r="J50" s="319">
        <f t="shared" si="2"/>
        <v>0</v>
      </c>
      <c r="K50" s="319">
        <f t="shared" si="2"/>
        <v>0</v>
      </c>
      <c r="L50" s="319">
        <f t="shared" si="2"/>
        <v>0</v>
      </c>
      <c r="M50" s="319">
        <f t="shared" si="2"/>
        <v>4.5562658355137128E-4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1.4707781508154006E-2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4.5562658355137128E-4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4085.4948633761128</v>
      </c>
      <c r="H54" s="21">
        <f t="shared" si="3"/>
        <v>0</v>
      </c>
      <c r="I54" s="21">
        <f t="shared" si="3"/>
        <v>0</v>
      </c>
      <c r="J54" s="21">
        <f t="shared" si="3"/>
        <v>0</v>
      </c>
      <c r="K54" s="21">
        <f t="shared" si="3"/>
        <v>0</v>
      </c>
      <c r="L54" s="21">
        <f t="shared" si="3"/>
        <v>0</v>
      </c>
      <c r="M54" s="21">
        <f t="shared" si="3"/>
        <v>126.56293987538092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0.21199756334411646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1090.8271285214221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30067.23231046</v>
      </c>
      <c r="D10" s="978">
        <f ca="1">tertiair!C16</f>
        <v>0</v>
      </c>
      <c r="E10" s="978">
        <f ca="1">tertiair!D16</f>
        <v>38042.24131315366</v>
      </c>
      <c r="F10" s="978">
        <f>tertiair!E16</f>
        <v>531.65406295700996</v>
      </c>
      <c r="G10" s="978">
        <f ca="1">tertiair!F16</f>
        <v>7107.0625358933776</v>
      </c>
      <c r="H10" s="978">
        <f>tertiair!G16</f>
        <v>0</v>
      </c>
      <c r="I10" s="978">
        <f>tertiair!H16</f>
        <v>0</v>
      </c>
      <c r="J10" s="978">
        <f>tertiair!I16</f>
        <v>0</v>
      </c>
      <c r="K10" s="978">
        <f>tertiair!J16</f>
        <v>0</v>
      </c>
      <c r="L10" s="978">
        <f>tertiair!K16</f>
        <v>0</v>
      </c>
      <c r="M10" s="978">
        <f ca="1">tertiair!L16</f>
        <v>0</v>
      </c>
      <c r="N10" s="978">
        <f>tertiair!M16</f>
        <v>0</v>
      </c>
      <c r="O10" s="978">
        <f ca="1">tertiair!N16</f>
        <v>4628.9274136023378</v>
      </c>
      <c r="P10" s="978">
        <f>tertiair!O16</f>
        <v>1.5633333333333335</v>
      </c>
      <c r="Q10" s="979">
        <f>tertiair!P16</f>
        <v>0</v>
      </c>
      <c r="R10" s="674">
        <f ca="1">SUM(C10:Q10)</f>
        <v>80378.680969399706</v>
      </c>
      <c r="S10" s="67"/>
    </row>
    <row r="11" spans="1:19" s="447" customFormat="1">
      <c r="A11" s="783" t="s">
        <v>224</v>
      </c>
      <c r="B11" s="788"/>
      <c r="C11" s="978">
        <f>huishoudens!B8</f>
        <v>44005.361260806232</v>
      </c>
      <c r="D11" s="978">
        <f>huishoudens!C8</f>
        <v>0</v>
      </c>
      <c r="E11" s="978">
        <f>huishoudens!D8</f>
        <v>125166.61223403476</v>
      </c>
      <c r="F11" s="978">
        <f>huishoudens!E8</f>
        <v>18422.750966476036</v>
      </c>
      <c r="G11" s="978">
        <f>huishoudens!F8</f>
        <v>37874.65507908741</v>
      </c>
      <c r="H11" s="978">
        <f>huishoudens!G8</f>
        <v>0</v>
      </c>
      <c r="I11" s="978">
        <f>huishoudens!H8</f>
        <v>0</v>
      </c>
      <c r="J11" s="978">
        <f>huishoudens!I8</f>
        <v>0</v>
      </c>
      <c r="K11" s="978">
        <f>huishoudens!J8</f>
        <v>0</v>
      </c>
      <c r="L11" s="978">
        <f>huishoudens!K8</f>
        <v>0</v>
      </c>
      <c r="M11" s="978">
        <f>huishoudens!L8</f>
        <v>0</v>
      </c>
      <c r="N11" s="978">
        <f>huishoudens!M8</f>
        <v>0</v>
      </c>
      <c r="O11" s="978">
        <f>huishoudens!N8</f>
        <v>8753.8174799799926</v>
      </c>
      <c r="P11" s="978">
        <f>huishoudens!O8</f>
        <v>306.41333333333336</v>
      </c>
      <c r="Q11" s="979">
        <f>huishoudens!P8</f>
        <v>552.93333333333339</v>
      </c>
      <c r="R11" s="674">
        <f>SUM(C11:Q11)</f>
        <v>235082.5436870511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3052.6567916860004</v>
      </c>
      <c r="D13" s="978">
        <f>industrie!C18</f>
        <v>0</v>
      </c>
      <c r="E13" s="978">
        <f>industrie!D18</f>
        <v>3491.99839347744</v>
      </c>
      <c r="F13" s="978">
        <f>industrie!E18</f>
        <v>425.52549270593886</v>
      </c>
      <c r="G13" s="978">
        <f>industrie!F18</f>
        <v>1542.0336123520926</v>
      </c>
      <c r="H13" s="978">
        <f>industrie!G18</f>
        <v>0</v>
      </c>
      <c r="I13" s="978">
        <f>industrie!H18</f>
        <v>0</v>
      </c>
      <c r="J13" s="978">
        <f>industrie!I18</f>
        <v>0</v>
      </c>
      <c r="K13" s="978">
        <f>industrie!J18</f>
        <v>32.343612069976565</v>
      </c>
      <c r="L13" s="978">
        <f>industrie!K18</f>
        <v>0</v>
      </c>
      <c r="M13" s="978">
        <f>industrie!L18</f>
        <v>0</v>
      </c>
      <c r="N13" s="978">
        <f>industrie!M18</f>
        <v>0</v>
      </c>
      <c r="O13" s="978">
        <f>industrie!N18</f>
        <v>392.85566949078679</v>
      </c>
      <c r="P13" s="978">
        <f>industrie!O18</f>
        <v>0</v>
      </c>
      <c r="Q13" s="979">
        <f>industrie!P18</f>
        <v>0</v>
      </c>
      <c r="R13" s="674">
        <f>SUM(C13:Q13)</f>
        <v>8937.4135717822355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77125.25036295224</v>
      </c>
      <c r="D16" s="706">
        <f t="shared" ref="D16:R16" ca="1" si="0">SUM(D9:D15)</f>
        <v>0</v>
      </c>
      <c r="E16" s="706">
        <f t="shared" ca="1" si="0"/>
        <v>166700.85194066586</v>
      </c>
      <c r="F16" s="706">
        <f t="shared" si="0"/>
        <v>19379.930522138984</v>
      </c>
      <c r="G16" s="706">
        <f t="shared" ca="1" si="0"/>
        <v>46523.751227332876</v>
      </c>
      <c r="H16" s="706">
        <f t="shared" si="0"/>
        <v>0</v>
      </c>
      <c r="I16" s="706">
        <f t="shared" si="0"/>
        <v>0</v>
      </c>
      <c r="J16" s="706">
        <f t="shared" si="0"/>
        <v>0</v>
      </c>
      <c r="K16" s="706">
        <f t="shared" si="0"/>
        <v>32.343612069976565</v>
      </c>
      <c r="L16" s="706">
        <f t="shared" si="0"/>
        <v>0</v>
      </c>
      <c r="M16" s="706">
        <f t="shared" ca="1" si="0"/>
        <v>0</v>
      </c>
      <c r="N16" s="706">
        <f t="shared" si="0"/>
        <v>0</v>
      </c>
      <c r="O16" s="706">
        <f t="shared" ca="1" si="0"/>
        <v>13775.600563073118</v>
      </c>
      <c r="P16" s="706">
        <f t="shared" si="0"/>
        <v>307.97666666666669</v>
      </c>
      <c r="Q16" s="706">
        <f t="shared" si="0"/>
        <v>552.93333333333339</v>
      </c>
      <c r="R16" s="706">
        <f t="shared" ca="1" si="0"/>
        <v>324398.63822823303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4085.4948633761128</v>
      </c>
      <c r="I19" s="978">
        <f>transport!H54</f>
        <v>0</v>
      </c>
      <c r="J19" s="978">
        <f>transport!I54</f>
        <v>0</v>
      </c>
      <c r="K19" s="978">
        <f>transport!J54</f>
        <v>0</v>
      </c>
      <c r="L19" s="978">
        <f>transport!K54</f>
        <v>0</v>
      </c>
      <c r="M19" s="978">
        <f>transport!L54</f>
        <v>0</v>
      </c>
      <c r="N19" s="978">
        <f>transport!M54</f>
        <v>126.56293987538092</v>
      </c>
      <c r="O19" s="978">
        <f>transport!N54</f>
        <v>0</v>
      </c>
      <c r="P19" s="978">
        <f>transport!O54</f>
        <v>0</v>
      </c>
      <c r="Q19" s="979">
        <f>transport!P54</f>
        <v>0</v>
      </c>
      <c r="R19" s="674">
        <f>SUM(C19:Q19)</f>
        <v>4212.0578032514941</v>
      </c>
      <c r="S19" s="67"/>
    </row>
    <row r="20" spans="1:19" s="447" customFormat="1">
      <c r="A20" s="783" t="s">
        <v>306</v>
      </c>
      <c r="B20" s="788"/>
      <c r="C20" s="978">
        <f>transport!B14</f>
        <v>73.16172289728658</v>
      </c>
      <c r="D20" s="978">
        <f>transport!C14</f>
        <v>0</v>
      </c>
      <c r="E20" s="978">
        <f>transport!D14</f>
        <v>145.09701287476747</v>
      </c>
      <c r="F20" s="978">
        <f>transport!E14</f>
        <v>738.80217878036513</v>
      </c>
      <c r="G20" s="978">
        <f>transport!F14</f>
        <v>0</v>
      </c>
      <c r="H20" s="978">
        <f>transport!G14</f>
        <v>241237.99299824433</v>
      </c>
      <c r="I20" s="978">
        <f>transport!H14</f>
        <v>50782.977144424447</v>
      </c>
      <c r="J20" s="978">
        <f>transport!I14</f>
        <v>0</v>
      </c>
      <c r="K20" s="978">
        <f>transport!J14</f>
        <v>0</v>
      </c>
      <c r="L20" s="978">
        <f>transport!K14</f>
        <v>0</v>
      </c>
      <c r="M20" s="978">
        <f>transport!L14</f>
        <v>0</v>
      </c>
      <c r="N20" s="978">
        <f>transport!M14</f>
        <v>9111.3073887985429</v>
      </c>
      <c r="O20" s="978">
        <f>transport!N14</f>
        <v>0</v>
      </c>
      <c r="P20" s="978">
        <f>transport!O14</f>
        <v>0</v>
      </c>
      <c r="Q20" s="979">
        <f>transport!P14</f>
        <v>0</v>
      </c>
      <c r="R20" s="674">
        <f>SUM(C20:Q20)</f>
        <v>302089.33844601974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73.16172289728658</v>
      </c>
      <c r="D22" s="786">
        <f t="shared" ref="D22:R22" si="1">SUM(D18:D21)</f>
        <v>0</v>
      </c>
      <c r="E22" s="786">
        <f t="shared" si="1"/>
        <v>145.09701287476747</v>
      </c>
      <c r="F22" s="786">
        <f t="shared" si="1"/>
        <v>738.80217878036513</v>
      </c>
      <c r="G22" s="786">
        <f t="shared" si="1"/>
        <v>0</v>
      </c>
      <c r="H22" s="786">
        <f t="shared" si="1"/>
        <v>245323.48786162044</v>
      </c>
      <c r="I22" s="786">
        <f t="shared" si="1"/>
        <v>50782.977144424447</v>
      </c>
      <c r="J22" s="786">
        <f t="shared" si="1"/>
        <v>0</v>
      </c>
      <c r="K22" s="786">
        <f t="shared" si="1"/>
        <v>0</v>
      </c>
      <c r="L22" s="786">
        <f t="shared" si="1"/>
        <v>0</v>
      </c>
      <c r="M22" s="786">
        <f t="shared" si="1"/>
        <v>0</v>
      </c>
      <c r="N22" s="786">
        <f t="shared" si="1"/>
        <v>9237.8703286739237</v>
      </c>
      <c r="O22" s="786">
        <f t="shared" si="1"/>
        <v>0</v>
      </c>
      <c r="P22" s="786">
        <f t="shared" si="1"/>
        <v>0</v>
      </c>
      <c r="Q22" s="786">
        <f t="shared" si="1"/>
        <v>0</v>
      </c>
      <c r="R22" s="786">
        <f t="shared" si="1"/>
        <v>306301.39624927123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528.25793770200005</v>
      </c>
      <c r="D24" s="978">
        <f>+landbouw!C8</f>
        <v>0</v>
      </c>
      <c r="E24" s="978">
        <f>+landbouw!D8</f>
        <v>1193.8141542630599</v>
      </c>
      <c r="F24" s="978">
        <f>+landbouw!E8</f>
        <v>13.621743937352441</v>
      </c>
      <c r="G24" s="978">
        <f>+landbouw!F8</f>
        <v>1930.8833641380961</v>
      </c>
      <c r="H24" s="978">
        <f>+landbouw!G8</f>
        <v>0</v>
      </c>
      <c r="I24" s="978">
        <f>+landbouw!H8</f>
        <v>0</v>
      </c>
      <c r="J24" s="978">
        <f>+landbouw!I8</f>
        <v>0</v>
      </c>
      <c r="K24" s="978">
        <f>+landbouw!J8</f>
        <v>76.0497101854871</v>
      </c>
      <c r="L24" s="978">
        <f>+landbouw!K8</f>
        <v>0</v>
      </c>
      <c r="M24" s="978">
        <f>+landbouw!L8</f>
        <v>0</v>
      </c>
      <c r="N24" s="978">
        <f>+landbouw!M8</f>
        <v>0</v>
      </c>
      <c r="O24" s="978">
        <f>+landbouw!N8</f>
        <v>0</v>
      </c>
      <c r="P24" s="978">
        <f>+landbouw!O8</f>
        <v>0</v>
      </c>
      <c r="Q24" s="979">
        <f>+landbouw!P8</f>
        <v>0</v>
      </c>
      <c r="R24" s="674">
        <f>SUM(C24:Q24)</f>
        <v>3742.6269102259957</v>
      </c>
      <c r="S24" s="67"/>
    </row>
    <row r="25" spans="1:19" s="447" customFormat="1" ht="15" thickBot="1">
      <c r="A25" s="805" t="s">
        <v>834</v>
      </c>
      <c r="B25" s="981"/>
      <c r="C25" s="982">
        <f>IF(Onbekend_ele_kWh="---",0,Onbekend_ele_kWh)/1000+IF(REST_rest_ele_kWh="---",0,REST_rest_ele_kWh)/1000</f>
        <v>1516.3832265999999</v>
      </c>
      <c r="D25" s="982"/>
      <c r="E25" s="982">
        <f>IF(onbekend_gas_kWh="---",0,onbekend_gas_kWh)/1000+IF(REST_rest_gas_kWh="---",0,REST_rest_gas_kWh)/1000</f>
        <v>4884.7861542000001</v>
      </c>
      <c r="F25" s="982"/>
      <c r="G25" s="982"/>
      <c r="H25" s="982"/>
      <c r="I25" s="982"/>
      <c r="J25" s="982"/>
      <c r="K25" s="982"/>
      <c r="L25" s="982"/>
      <c r="M25" s="982"/>
      <c r="N25" s="982"/>
      <c r="O25" s="982"/>
      <c r="P25" s="982"/>
      <c r="Q25" s="983"/>
      <c r="R25" s="674">
        <f>SUM(C25:Q25)</f>
        <v>6401.1693808</v>
      </c>
      <c r="S25" s="67"/>
    </row>
    <row r="26" spans="1:19" s="447" customFormat="1" ht="15.75" thickBot="1">
      <c r="A26" s="679" t="s">
        <v>835</v>
      </c>
      <c r="B26" s="791"/>
      <c r="C26" s="786">
        <f>SUM(C24:C25)</f>
        <v>2044.6411643020001</v>
      </c>
      <c r="D26" s="786">
        <f t="shared" ref="D26:R26" si="2">SUM(D24:D25)</f>
        <v>0</v>
      </c>
      <c r="E26" s="786">
        <f t="shared" si="2"/>
        <v>6078.6003084630602</v>
      </c>
      <c r="F26" s="786">
        <f t="shared" si="2"/>
        <v>13.621743937352441</v>
      </c>
      <c r="G26" s="786">
        <f t="shared" si="2"/>
        <v>1930.8833641380961</v>
      </c>
      <c r="H26" s="786">
        <f t="shared" si="2"/>
        <v>0</v>
      </c>
      <c r="I26" s="786">
        <f t="shared" si="2"/>
        <v>0</v>
      </c>
      <c r="J26" s="786">
        <f t="shared" si="2"/>
        <v>0</v>
      </c>
      <c r="K26" s="786">
        <f t="shared" si="2"/>
        <v>76.0497101854871</v>
      </c>
      <c r="L26" s="786">
        <f t="shared" si="2"/>
        <v>0</v>
      </c>
      <c r="M26" s="786">
        <f t="shared" si="2"/>
        <v>0</v>
      </c>
      <c r="N26" s="786">
        <f t="shared" si="2"/>
        <v>0</v>
      </c>
      <c r="O26" s="786">
        <f t="shared" si="2"/>
        <v>0</v>
      </c>
      <c r="P26" s="786">
        <f t="shared" si="2"/>
        <v>0</v>
      </c>
      <c r="Q26" s="786">
        <f t="shared" si="2"/>
        <v>0</v>
      </c>
      <c r="R26" s="786">
        <f t="shared" si="2"/>
        <v>10143.796291025996</v>
      </c>
      <c r="S26" s="67"/>
    </row>
    <row r="27" spans="1:19" s="447" customFormat="1" ht="17.25" thickTop="1" thickBot="1">
      <c r="A27" s="680" t="s">
        <v>115</v>
      </c>
      <c r="B27" s="779"/>
      <c r="C27" s="681">
        <f ca="1">C22+C16+C26</f>
        <v>79243.053250151526</v>
      </c>
      <c r="D27" s="681">
        <f t="shared" ref="D27:R27" ca="1" si="3">D22+D16+D26</f>
        <v>0</v>
      </c>
      <c r="E27" s="681">
        <f t="shared" ca="1" si="3"/>
        <v>172924.54926200368</v>
      </c>
      <c r="F27" s="681">
        <f t="shared" si="3"/>
        <v>20132.354444856705</v>
      </c>
      <c r="G27" s="681">
        <f t="shared" ca="1" si="3"/>
        <v>48454.634591470975</v>
      </c>
      <c r="H27" s="681">
        <f t="shared" si="3"/>
        <v>245323.48786162044</v>
      </c>
      <c r="I27" s="681">
        <f t="shared" si="3"/>
        <v>50782.977144424447</v>
      </c>
      <c r="J27" s="681">
        <f t="shared" si="3"/>
        <v>0</v>
      </c>
      <c r="K27" s="681">
        <f t="shared" si="3"/>
        <v>108.39332225546366</v>
      </c>
      <c r="L27" s="681">
        <f t="shared" si="3"/>
        <v>0</v>
      </c>
      <c r="M27" s="681">
        <f t="shared" ca="1" si="3"/>
        <v>0</v>
      </c>
      <c r="N27" s="681">
        <f t="shared" si="3"/>
        <v>9237.8703286739237</v>
      </c>
      <c r="O27" s="681">
        <f t="shared" ca="1" si="3"/>
        <v>13775.600563073118</v>
      </c>
      <c r="P27" s="681">
        <f t="shared" si="3"/>
        <v>307.97666666666669</v>
      </c>
      <c r="Q27" s="681">
        <f t="shared" si="3"/>
        <v>552.93333333333339</v>
      </c>
      <c r="R27" s="681">
        <f t="shared" ca="1" si="3"/>
        <v>640843.83076853026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6374.179986319009</v>
      </c>
      <c r="D40" s="978">
        <f ca="1">tertiair!C20</f>
        <v>0</v>
      </c>
      <c r="E40" s="978">
        <f ca="1">tertiair!D20</f>
        <v>7684.53274525704</v>
      </c>
      <c r="F40" s="978">
        <f>tertiair!E20</f>
        <v>120.68547229124127</v>
      </c>
      <c r="G40" s="978">
        <f ca="1">tertiair!F20</f>
        <v>1897.5856970835318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16076.983900950821</v>
      </c>
    </row>
    <row r="41" spans="1:18">
      <c r="A41" s="796" t="s">
        <v>224</v>
      </c>
      <c r="B41" s="803"/>
      <c r="C41" s="978">
        <f ca="1">huishoudens!B12</f>
        <v>9329.0293613684971</v>
      </c>
      <c r="D41" s="978">
        <f ca="1">huishoudens!C12</f>
        <v>0</v>
      </c>
      <c r="E41" s="978">
        <f>huishoudens!D12</f>
        <v>25283.655671275024</v>
      </c>
      <c r="F41" s="978">
        <f>huishoudens!E12</f>
        <v>4181.96446939006</v>
      </c>
      <c r="G41" s="978">
        <f>huishoudens!F12</f>
        <v>10112.532906116339</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48907.182408149922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647.1558015633002</v>
      </c>
      <c r="D43" s="978">
        <f ca="1">industrie!C22</f>
        <v>0</v>
      </c>
      <c r="E43" s="978">
        <f>industrie!D22</f>
        <v>705.38367548244298</v>
      </c>
      <c r="F43" s="978">
        <f>industrie!E22</f>
        <v>96.594286844248117</v>
      </c>
      <c r="G43" s="978">
        <f>industrie!F22</f>
        <v>411.72297449800874</v>
      </c>
      <c r="H43" s="978">
        <f>industrie!G22</f>
        <v>0</v>
      </c>
      <c r="I43" s="978">
        <f>industrie!H22</f>
        <v>0</v>
      </c>
      <c r="J43" s="978">
        <f>industrie!I22</f>
        <v>0</v>
      </c>
      <c r="K43" s="978">
        <f>industrie!J22</f>
        <v>11.449638672771703</v>
      </c>
      <c r="L43" s="978">
        <f>industrie!K22</f>
        <v>0</v>
      </c>
      <c r="M43" s="978">
        <f>industrie!L22</f>
        <v>0</v>
      </c>
      <c r="N43" s="978">
        <f>industrie!M22</f>
        <v>0</v>
      </c>
      <c r="O43" s="978">
        <f>industrie!N22</f>
        <v>0</v>
      </c>
      <c r="P43" s="978">
        <f>industrie!O22</f>
        <v>0</v>
      </c>
      <c r="Q43" s="748">
        <f>industrie!P22</f>
        <v>0</v>
      </c>
      <c r="R43" s="823">
        <f t="shared" ca="1" si="4"/>
        <v>1872.3063770607716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16350.365149250805</v>
      </c>
      <c r="D46" s="706">
        <f t="shared" ref="D46:Q46" ca="1" si="5">SUM(D39:D45)</f>
        <v>0</v>
      </c>
      <c r="E46" s="706">
        <f t="shared" ca="1" si="5"/>
        <v>33673.57209201451</v>
      </c>
      <c r="F46" s="706">
        <f t="shared" si="5"/>
        <v>4399.2442285255493</v>
      </c>
      <c r="G46" s="706">
        <f t="shared" ca="1" si="5"/>
        <v>12421.84157769788</v>
      </c>
      <c r="H46" s="706">
        <f t="shared" si="5"/>
        <v>0</v>
      </c>
      <c r="I46" s="706">
        <f t="shared" si="5"/>
        <v>0</v>
      </c>
      <c r="J46" s="706">
        <f t="shared" si="5"/>
        <v>0</v>
      </c>
      <c r="K46" s="706">
        <f t="shared" si="5"/>
        <v>11.449638672771703</v>
      </c>
      <c r="L46" s="706">
        <f t="shared" si="5"/>
        <v>0</v>
      </c>
      <c r="M46" s="706">
        <f t="shared" ca="1" si="5"/>
        <v>0</v>
      </c>
      <c r="N46" s="706">
        <f t="shared" si="5"/>
        <v>0</v>
      </c>
      <c r="O46" s="706">
        <f t="shared" ca="1" si="5"/>
        <v>0</v>
      </c>
      <c r="P46" s="706">
        <f t="shared" si="5"/>
        <v>0</v>
      </c>
      <c r="Q46" s="706">
        <f t="shared" si="5"/>
        <v>0</v>
      </c>
      <c r="R46" s="706">
        <f ca="1">SUM(R39:R45)</f>
        <v>66856.47268616152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1090.8271285214221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1090.8271285214221</v>
      </c>
    </row>
    <row r="50" spans="1:18">
      <c r="A50" s="799" t="s">
        <v>306</v>
      </c>
      <c r="B50" s="809"/>
      <c r="C50" s="677">
        <f ca="1">transport!B18</f>
        <v>15.510106984282208</v>
      </c>
      <c r="D50" s="677">
        <f>transport!C18</f>
        <v>0</v>
      </c>
      <c r="E50" s="677">
        <f>transport!D18</f>
        <v>29.309596600703031</v>
      </c>
      <c r="F50" s="677">
        <f>transport!E18</f>
        <v>167.70809458314289</v>
      </c>
      <c r="G50" s="677">
        <f>transport!F18</f>
        <v>0</v>
      </c>
      <c r="H50" s="677">
        <f>transport!G18</f>
        <v>64410.544130531242</v>
      </c>
      <c r="I50" s="677">
        <f>transport!H18</f>
        <v>12644.961308961687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77268.03323766106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15.510106984282208</v>
      </c>
      <c r="D52" s="706">
        <f t="shared" ref="D52:Q52" ca="1" si="6">SUM(D48:D51)</f>
        <v>0</v>
      </c>
      <c r="E52" s="706">
        <f t="shared" si="6"/>
        <v>29.309596600703031</v>
      </c>
      <c r="F52" s="706">
        <f t="shared" si="6"/>
        <v>167.70809458314289</v>
      </c>
      <c r="G52" s="706">
        <f t="shared" si="6"/>
        <v>0</v>
      </c>
      <c r="H52" s="706">
        <f t="shared" si="6"/>
        <v>65501.371259052663</v>
      </c>
      <c r="I52" s="706">
        <f t="shared" si="6"/>
        <v>12644.961308961687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78358.860366182489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111.98939561001208</v>
      </c>
      <c r="D54" s="677">
        <f ca="1">+landbouw!C12</f>
        <v>0</v>
      </c>
      <c r="E54" s="677">
        <f>+landbouw!D12</f>
        <v>241.15045916113812</v>
      </c>
      <c r="F54" s="677">
        <f>+landbouw!E12</f>
        <v>3.0921358737790041</v>
      </c>
      <c r="G54" s="677">
        <f>+landbouw!F12</f>
        <v>515.54585822487172</v>
      </c>
      <c r="H54" s="677">
        <f>+landbouw!G12</f>
        <v>0</v>
      </c>
      <c r="I54" s="677">
        <f>+landbouw!H12</f>
        <v>0</v>
      </c>
      <c r="J54" s="677">
        <f>+landbouw!I12</f>
        <v>0</v>
      </c>
      <c r="K54" s="677">
        <f>+landbouw!J12</f>
        <v>26.921597405662432</v>
      </c>
      <c r="L54" s="677">
        <f>+landbouw!K12</f>
        <v>0</v>
      </c>
      <c r="M54" s="677">
        <f>+landbouw!L12</f>
        <v>0</v>
      </c>
      <c r="N54" s="677">
        <f>+landbouw!M12</f>
        <v>0</v>
      </c>
      <c r="O54" s="677">
        <f>+landbouw!N12</f>
        <v>0</v>
      </c>
      <c r="P54" s="677">
        <f>+landbouw!O12</f>
        <v>0</v>
      </c>
      <c r="Q54" s="678">
        <f>+landbouw!P12</f>
        <v>0</v>
      </c>
      <c r="R54" s="705">
        <f ca="1">SUM(C54:Q54)</f>
        <v>898.69944627546329</v>
      </c>
    </row>
    <row r="55" spans="1:18" ht="15" thickBot="1">
      <c r="A55" s="799" t="s">
        <v>834</v>
      </c>
      <c r="B55" s="809"/>
      <c r="C55" s="677">
        <f ca="1">C25*'EF ele_warmte'!B12</f>
        <v>321.46954913508921</v>
      </c>
      <c r="D55" s="677"/>
      <c r="E55" s="677">
        <f>E25*EF_CO2_aardgas</f>
        <v>986.72680314840011</v>
      </c>
      <c r="F55" s="677"/>
      <c r="G55" s="677"/>
      <c r="H55" s="677"/>
      <c r="I55" s="677"/>
      <c r="J55" s="677"/>
      <c r="K55" s="677"/>
      <c r="L55" s="677"/>
      <c r="M55" s="677"/>
      <c r="N55" s="677"/>
      <c r="O55" s="677"/>
      <c r="P55" s="677"/>
      <c r="Q55" s="678"/>
      <c r="R55" s="705">
        <f ca="1">SUM(C55:Q55)</f>
        <v>1308.1963522834894</v>
      </c>
    </row>
    <row r="56" spans="1:18" ht="15.75" thickBot="1">
      <c r="A56" s="797" t="s">
        <v>835</v>
      </c>
      <c r="B56" s="810"/>
      <c r="C56" s="706">
        <f ca="1">SUM(C54:C55)</f>
        <v>433.45894474510129</v>
      </c>
      <c r="D56" s="706">
        <f t="shared" ref="D56:Q56" ca="1" si="7">SUM(D54:D55)</f>
        <v>0</v>
      </c>
      <c r="E56" s="706">
        <f t="shared" si="7"/>
        <v>1227.8772623095383</v>
      </c>
      <c r="F56" s="706">
        <f t="shared" si="7"/>
        <v>3.0921358737790041</v>
      </c>
      <c r="G56" s="706">
        <f t="shared" si="7"/>
        <v>515.54585822487172</v>
      </c>
      <c r="H56" s="706">
        <f t="shared" si="7"/>
        <v>0</v>
      </c>
      <c r="I56" s="706">
        <f t="shared" si="7"/>
        <v>0</v>
      </c>
      <c r="J56" s="706">
        <f t="shared" si="7"/>
        <v>0</v>
      </c>
      <c r="K56" s="706">
        <f t="shared" si="7"/>
        <v>26.921597405662432</v>
      </c>
      <c r="L56" s="706">
        <f t="shared" si="7"/>
        <v>0</v>
      </c>
      <c r="M56" s="706">
        <f t="shared" si="7"/>
        <v>0</v>
      </c>
      <c r="N56" s="706">
        <f t="shared" si="7"/>
        <v>0</v>
      </c>
      <c r="O56" s="706">
        <f t="shared" si="7"/>
        <v>0</v>
      </c>
      <c r="P56" s="706">
        <f t="shared" si="7"/>
        <v>0</v>
      </c>
      <c r="Q56" s="707">
        <f t="shared" si="7"/>
        <v>0</v>
      </c>
      <c r="R56" s="708">
        <f ca="1">SUM(R54:R55)</f>
        <v>2206.8957985589527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16799.334200980189</v>
      </c>
      <c r="D61" s="714">
        <f t="shared" ref="D61:Q61" ca="1" si="8">D46+D52+D56</f>
        <v>0</v>
      </c>
      <c r="E61" s="714">
        <f t="shared" ca="1" si="8"/>
        <v>34930.758950924748</v>
      </c>
      <c r="F61" s="714">
        <f t="shared" si="8"/>
        <v>4570.044458982471</v>
      </c>
      <c r="G61" s="714">
        <f t="shared" ca="1" si="8"/>
        <v>12937.387435922752</v>
      </c>
      <c r="H61" s="714">
        <f t="shared" si="8"/>
        <v>65501.371259052663</v>
      </c>
      <c r="I61" s="714">
        <f t="shared" si="8"/>
        <v>12644.961308961687</v>
      </c>
      <c r="J61" s="714">
        <f t="shared" si="8"/>
        <v>0</v>
      </c>
      <c r="K61" s="714">
        <f t="shared" si="8"/>
        <v>38.371236078434137</v>
      </c>
      <c r="L61" s="714">
        <f t="shared" si="8"/>
        <v>0</v>
      </c>
      <c r="M61" s="714">
        <f t="shared" ca="1" si="8"/>
        <v>0</v>
      </c>
      <c r="N61" s="714">
        <f t="shared" si="8"/>
        <v>0</v>
      </c>
      <c r="O61" s="714">
        <f t="shared" ca="1" si="8"/>
        <v>0</v>
      </c>
      <c r="P61" s="714">
        <f t="shared" si="8"/>
        <v>0</v>
      </c>
      <c r="Q61" s="714">
        <f t="shared" si="8"/>
        <v>0</v>
      </c>
      <c r="R61" s="714">
        <f ca="1">R46+R52+R56</f>
        <v>147422.22885090296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0.21199756334411643</v>
      </c>
      <c r="D63" s="755">
        <f t="shared" ca="1" si="9"/>
        <v>0</v>
      </c>
      <c r="E63" s="989">
        <f t="shared" ca="1" si="9"/>
        <v>0.20200000000000001</v>
      </c>
      <c r="F63" s="755">
        <f t="shared" si="9"/>
        <v>0.22699999999999995</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29.11242603550296</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3198.8539418527007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3227.9663678882039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29.11242603550296</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3198.8539418527007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3227.9663678882039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44005.361260806232</v>
      </c>
      <c r="C4" s="451">
        <f>huishoudens!C8</f>
        <v>0</v>
      </c>
      <c r="D4" s="451">
        <f>huishoudens!D8</f>
        <v>125166.61223403476</v>
      </c>
      <c r="E4" s="451">
        <f>huishoudens!E8</f>
        <v>18422.750966476036</v>
      </c>
      <c r="F4" s="451">
        <f>huishoudens!F8</f>
        <v>37874.65507908741</v>
      </c>
      <c r="G4" s="451">
        <f>huishoudens!G8</f>
        <v>0</v>
      </c>
      <c r="H4" s="451">
        <f>huishoudens!H8</f>
        <v>0</v>
      </c>
      <c r="I4" s="451">
        <f>huishoudens!I8</f>
        <v>0</v>
      </c>
      <c r="J4" s="451">
        <f>huishoudens!J8</f>
        <v>0</v>
      </c>
      <c r="K4" s="451">
        <f>huishoudens!K8</f>
        <v>0</v>
      </c>
      <c r="L4" s="451">
        <f>huishoudens!L8</f>
        <v>0</v>
      </c>
      <c r="M4" s="451">
        <f>huishoudens!M8</f>
        <v>0</v>
      </c>
      <c r="N4" s="451">
        <f>huishoudens!N8</f>
        <v>8753.8174799799926</v>
      </c>
      <c r="O4" s="451">
        <f>huishoudens!O8</f>
        <v>306.41333333333336</v>
      </c>
      <c r="P4" s="452">
        <f>huishoudens!P8</f>
        <v>552.93333333333339</v>
      </c>
      <c r="Q4" s="453">
        <f>SUM(B4:P4)</f>
        <v>235082.5436870511</v>
      </c>
    </row>
    <row r="5" spans="1:17">
      <c r="A5" s="450" t="s">
        <v>155</v>
      </c>
      <c r="B5" s="451">
        <f ca="1">tertiair!B16</f>
        <v>28021.34131046</v>
      </c>
      <c r="C5" s="451">
        <f ca="1">tertiair!C16</f>
        <v>0</v>
      </c>
      <c r="D5" s="451">
        <f ca="1">tertiair!D16</f>
        <v>38042.24131315366</v>
      </c>
      <c r="E5" s="451">
        <f>tertiair!E16</f>
        <v>531.65406295700996</v>
      </c>
      <c r="F5" s="451">
        <f ca="1">tertiair!F16</f>
        <v>7107.0625358933776</v>
      </c>
      <c r="G5" s="451">
        <f>tertiair!G16</f>
        <v>0</v>
      </c>
      <c r="H5" s="451">
        <f>tertiair!H16</f>
        <v>0</v>
      </c>
      <c r="I5" s="451">
        <f>tertiair!I16</f>
        <v>0</v>
      </c>
      <c r="J5" s="451">
        <f>tertiair!J16</f>
        <v>0</v>
      </c>
      <c r="K5" s="451">
        <f>tertiair!K16</f>
        <v>0</v>
      </c>
      <c r="L5" s="451">
        <f ca="1">tertiair!L16</f>
        <v>0</v>
      </c>
      <c r="M5" s="451">
        <f>tertiair!M16</f>
        <v>0</v>
      </c>
      <c r="N5" s="451">
        <f ca="1">tertiair!N16</f>
        <v>4628.9274136023378</v>
      </c>
      <c r="O5" s="451">
        <f>tertiair!O16</f>
        <v>1.5633333333333335</v>
      </c>
      <c r="P5" s="452">
        <f>tertiair!P16</f>
        <v>0</v>
      </c>
      <c r="Q5" s="450">
        <f t="shared" ref="Q5:Q14" ca="1" si="0">SUM(B5:P5)</f>
        <v>78332.789969399731</v>
      </c>
    </row>
    <row r="6" spans="1:17">
      <c r="A6" s="450" t="s">
        <v>193</v>
      </c>
      <c r="B6" s="451">
        <f>'openbare verlichting'!B8</f>
        <v>2045.8910000000001</v>
      </c>
      <c r="C6" s="451"/>
      <c r="D6" s="451"/>
      <c r="E6" s="451"/>
      <c r="F6" s="451"/>
      <c r="G6" s="451"/>
      <c r="H6" s="451"/>
      <c r="I6" s="451"/>
      <c r="J6" s="451"/>
      <c r="K6" s="451"/>
      <c r="L6" s="451"/>
      <c r="M6" s="451"/>
      <c r="N6" s="451"/>
      <c r="O6" s="451"/>
      <c r="P6" s="452"/>
      <c r="Q6" s="450">
        <f t="shared" si="0"/>
        <v>2045.8910000000001</v>
      </c>
    </row>
    <row r="7" spans="1:17">
      <c r="A7" s="450" t="s">
        <v>111</v>
      </c>
      <c r="B7" s="451">
        <f>landbouw!B8</f>
        <v>528.25793770200005</v>
      </c>
      <c r="C7" s="451">
        <f>landbouw!C8</f>
        <v>0</v>
      </c>
      <c r="D7" s="451">
        <f>landbouw!D8</f>
        <v>1193.8141542630599</v>
      </c>
      <c r="E7" s="451">
        <f>landbouw!E8</f>
        <v>13.621743937352441</v>
      </c>
      <c r="F7" s="451">
        <f>landbouw!F8</f>
        <v>1930.8833641380961</v>
      </c>
      <c r="G7" s="451">
        <f>landbouw!G8</f>
        <v>0</v>
      </c>
      <c r="H7" s="451">
        <f>landbouw!H8</f>
        <v>0</v>
      </c>
      <c r="I7" s="451">
        <f>landbouw!I8</f>
        <v>0</v>
      </c>
      <c r="J7" s="451">
        <f>landbouw!J8</f>
        <v>76.0497101854871</v>
      </c>
      <c r="K7" s="451">
        <f>landbouw!K8</f>
        <v>0</v>
      </c>
      <c r="L7" s="451">
        <f>landbouw!L8</f>
        <v>0</v>
      </c>
      <c r="M7" s="451">
        <f>landbouw!M8</f>
        <v>0</v>
      </c>
      <c r="N7" s="451">
        <f>landbouw!N8</f>
        <v>0</v>
      </c>
      <c r="O7" s="451">
        <f>landbouw!O8</f>
        <v>0</v>
      </c>
      <c r="P7" s="452">
        <f>landbouw!P8</f>
        <v>0</v>
      </c>
      <c r="Q7" s="450">
        <f t="shared" si="0"/>
        <v>3742.6269102259957</v>
      </c>
    </row>
    <row r="8" spans="1:17">
      <c r="A8" s="450" t="s">
        <v>637</v>
      </c>
      <c r="B8" s="451">
        <f>industrie!B18</f>
        <v>3052.6567916860004</v>
      </c>
      <c r="C8" s="451">
        <f>industrie!C18</f>
        <v>0</v>
      </c>
      <c r="D8" s="451">
        <f>industrie!D18</f>
        <v>3491.99839347744</v>
      </c>
      <c r="E8" s="451">
        <f>industrie!E18</f>
        <v>425.52549270593886</v>
      </c>
      <c r="F8" s="451">
        <f>industrie!F18</f>
        <v>1542.0336123520926</v>
      </c>
      <c r="G8" s="451">
        <f>industrie!G18</f>
        <v>0</v>
      </c>
      <c r="H8" s="451">
        <f>industrie!H18</f>
        <v>0</v>
      </c>
      <c r="I8" s="451">
        <f>industrie!I18</f>
        <v>0</v>
      </c>
      <c r="J8" s="451">
        <f>industrie!J18</f>
        <v>32.343612069976565</v>
      </c>
      <c r="K8" s="451">
        <f>industrie!K18</f>
        <v>0</v>
      </c>
      <c r="L8" s="451">
        <f>industrie!L18</f>
        <v>0</v>
      </c>
      <c r="M8" s="451">
        <f>industrie!M18</f>
        <v>0</v>
      </c>
      <c r="N8" s="451">
        <f>industrie!N18</f>
        <v>392.85566949078679</v>
      </c>
      <c r="O8" s="451">
        <f>industrie!O18</f>
        <v>0</v>
      </c>
      <c r="P8" s="452">
        <f>industrie!P18</f>
        <v>0</v>
      </c>
      <c r="Q8" s="450">
        <f t="shared" si="0"/>
        <v>8937.4135717822355</v>
      </c>
    </row>
    <row r="9" spans="1:17" s="456" customFormat="1">
      <c r="A9" s="454" t="s">
        <v>563</v>
      </c>
      <c r="B9" s="455">
        <f>transport!B14</f>
        <v>73.16172289728658</v>
      </c>
      <c r="C9" s="455">
        <f>transport!C14</f>
        <v>0</v>
      </c>
      <c r="D9" s="455">
        <f>transport!D14</f>
        <v>145.09701287476747</v>
      </c>
      <c r="E9" s="455">
        <f>transport!E14</f>
        <v>738.80217878036513</v>
      </c>
      <c r="F9" s="455">
        <f>transport!F14</f>
        <v>0</v>
      </c>
      <c r="G9" s="455">
        <f>transport!G14</f>
        <v>241237.99299824433</v>
      </c>
      <c r="H9" s="455">
        <f>transport!H14</f>
        <v>50782.977144424447</v>
      </c>
      <c r="I9" s="455">
        <f>transport!I14</f>
        <v>0</v>
      </c>
      <c r="J9" s="455">
        <f>transport!J14</f>
        <v>0</v>
      </c>
      <c r="K9" s="455">
        <f>transport!K14</f>
        <v>0</v>
      </c>
      <c r="L9" s="455">
        <f>transport!L14</f>
        <v>0</v>
      </c>
      <c r="M9" s="455">
        <f>transport!M14</f>
        <v>9111.3073887985429</v>
      </c>
      <c r="N9" s="455">
        <f>transport!N14</f>
        <v>0</v>
      </c>
      <c r="O9" s="455">
        <f>transport!O14</f>
        <v>0</v>
      </c>
      <c r="P9" s="455">
        <f>transport!P14</f>
        <v>0</v>
      </c>
      <c r="Q9" s="454">
        <f>SUM(B9:P9)</f>
        <v>302089.33844601974</v>
      </c>
    </row>
    <row r="10" spans="1:17">
      <c r="A10" s="450" t="s">
        <v>553</v>
      </c>
      <c r="B10" s="451">
        <f>transport!B54</f>
        <v>0</v>
      </c>
      <c r="C10" s="451">
        <f>transport!C54</f>
        <v>0</v>
      </c>
      <c r="D10" s="451">
        <f>transport!D54</f>
        <v>0</v>
      </c>
      <c r="E10" s="451">
        <f>transport!E54</f>
        <v>0</v>
      </c>
      <c r="F10" s="451">
        <f>transport!F54</f>
        <v>0</v>
      </c>
      <c r="G10" s="451">
        <f>transport!G54</f>
        <v>4085.4948633761128</v>
      </c>
      <c r="H10" s="451">
        <f>transport!H54</f>
        <v>0</v>
      </c>
      <c r="I10" s="451">
        <f>transport!I54</f>
        <v>0</v>
      </c>
      <c r="J10" s="451">
        <f>transport!J54</f>
        <v>0</v>
      </c>
      <c r="K10" s="451">
        <f>transport!K54</f>
        <v>0</v>
      </c>
      <c r="L10" s="451">
        <f>transport!L54</f>
        <v>0</v>
      </c>
      <c r="M10" s="451">
        <f>transport!M54</f>
        <v>126.56293987538092</v>
      </c>
      <c r="N10" s="451">
        <f>transport!N54</f>
        <v>0</v>
      </c>
      <c r="O10" s="451">
        <f>transport!O54</f>
        <v>0</v>
      </c>
      <c r="P10" s="452">
        <f>transport!P54</f>
        <v>0</v>
      </c>
      <c r="Q10" s="450">
        <f t="shared" si="0"/>
        <v>4212.0578032514941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1516.3832265999999</v>
      </c>
      <c r="C14" s="458"/>
      <c r="D14" s="458">
        <f>'SEAP template'!E25</f>
        <v>4884.7861542000001</v>
      </c>
      <c r="E14" s="458"/>
      <c r="F14" s="458"/>
      <c r="G14" s="458"/>
      <c r="H14" s="458"/>
      <c r="I14" s="458"/>
      <c r="J14" s="458"/>
      <c r="K14" s="458"/>
      <c r="L14" s="458"/>
      <c r="M14" s="458"/>
      <c r="N14" s="458"/>
      <c r="O14" s="458"/>
      <c r="P14" s="459"/>
      <c r="Q14" s="450">
        <f t="shared" si="0"/>
        <v>6401.1693808</v>
      </c>
    </row>
    <row r="15" spans="1:17" s="460" customFormat="1">
      <c r="A15" s="1004" t="s">
        <v>557</v>
      </c>
      <c r="B15" s="944">
        <f ca="1">SUM(B4:B14)</f>
        <v>79243.053250151526</v>
      </c>
      <c r="C15" s="944">
        <f t="shared" ref="C15:Q15" ca="1" si="1">SUM(C4:C14)</f>
        <v>0</v>
      </c>
      <c r="D15" s="944">
        <f t="shared" ca="1" si="1"/>
        <v>172924.54926200368</v>
      </c>
      <c r="E15" s="944">
        <f t="shared" si="1"/>
        <v>20132.354444856705</v>
      </c>
      <c r="F15" s="944">
        <f t="shared" ca="1" si="1"/>
        <v>48454.634591470975</v>
      </c>
      <c r="G15" s="944">
        <f t="shared" si="1"/>
        <v>245323.48786162044</v>
      </c>
      <c r="H15" s="944">
        <f t="shared" si="1"/>
        <v>50782.977144424447</v>
      </c>
      <c r="I15" s="944">
        <f t="shared" si="1"/>
        <v>0</v>
      </c>
      <c r="J15" s="944">
        <f t="shared" si="1"/>
        <v>108.39332225546366</v>
      </c>
      <c r="K15" s="944">
        <f t="shared" si="1"/>
        <v>0</v>
      </c>
      <c r="L15" s="944">
        <f t="shared" ca="1" si="1"/>
        <v>0</v>
      </c>
      <c r="M15" s="944">
        <f t="shared" si="1"/>
        <v>9237.8703286739237</v>
      </c>
      <c r="N15" s="944">
        <f t="shared" ca="1" si="1"/>
        <v>13775.600563073118</v>
      </c>
      <c r="O15" s="944">
        <f t="shared" si="1"/>
        <v>307.97666666666669</v>
      </c>
      <c r="P15" s="944">
        <f t="shared" si="1"/>
        <v>552.93333333333339</v>
      </c>
      <c r="Q15" s="944">
        <f t="shared" ca="1" si="1"/>
        <v>640843.83076853037</v>
      </c>
    </row>
    <row r="17" spans="1:17">
      <c r="A17" s="461" t="s">
        <v>558</v>
      </c>
      <c r="B17" s="760">
        <f ca="1">huishoudens!B10</f>
        <v>0.21199756334411646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9329.0293613684971</v>
      </c>
      <c r="C22" s="451">
        <f t="shared" ref="C22:C32" ca="1" si="3">C4*$C$17</f>
        <v>0</v>
      </c>
      <c r="D22" s="451">
        <f t="shared" ref="D22:D32" si="4">D4*$D$17</f>
        <v>25283.655671275024</v>
      </c>
      <c r="E22" s="451">
        <f t="shared" ref="E22:E32" si="5">E4*$E$17</f>
        <v>4181.96446939006</v>
      </c>
      <c r="F22" s="451">
        <f t="shared" ref="F22:F32" si="6">F4*$F$17</f>
        <v>10112.532906116339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48907.182408149922</v>
      </c>
    </row>
    <row r="23" spans="1:17">
      <c r="A23" s="450" t="s">
        <v>155</v>
      </c>
      <c r="B23" s="451">
        <f t="shared" ca="1" si="2"/>
        <v>5940.4560794513509</v>
      </c>
      <c r="C23" s="451">
        <f t="shared" ca="1" si="3"/>
        <v>0</v>
      </c>
      <c r="D23" s="451">
        <f t="shared" ca="1" si="4"/>
        <v>7684.53274525704</v>
      </c>
      <c r="E23" s="451">
        <f t="shared" si="5"/>
        <v>120.68547229124127</v>
      </c>
      <c r="F23" s="451">
        <f t="shared" ca="1" si="6"/>
        <v>1897.5856970835318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15643.259994083164</v>
      </c>
    </row>
    <row r="24" spans="1:17">
      <c r="A24" s="450" t="s">
        <v>193</v>
      </c>
      <c r="B24" s="451">
        <f t="shared" ca="1" si="2"/>
        <v>433.72390686765777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433.72390686765777</v>
      </c>
    </row>
    <row r="25" spans="1:17">
      <c r="A25" s="450" t="s">
        <v>111</v>
      </c>
      <c r="B25" s="451">
        <f t="shared" ca="1" si="2"/>
        <v>111.98939561001208</v>
      </c>
      <c r="C25" s="451">
        <f t="shared" ca="1" si="3"/>
        <v>0</v>
      </c>
      <c r="D25" s="451">
        <f t="shared" si="4"/>
        <v>241.15045916113812</v>
      </c>
      <c r="E25" s="451">
        <f t="shared" si="5"/>
        <v>3.0921358737790041</v>
      </c>
      <c r="F25" s="451">
        <f t="shared" si="6"/>
        <v>515.54585822487172</v>
      </c>
      <c r="G25" s="451">
        <f t="shared" si="7"/>
        <v>0</v>
      </c>
      <c r="H25" s="451">
        <f t="shared" si="8"/>
        <v>0</v>
      </c>
      <c r="I25" s="451">
        <f t="shared" si="9"/>
        <v>0</v>
      </c>
      <c r="J25" s="451">
        <f t="shared" si="10"/>
        <v>26.921597405662432</v>
      </c>
      <c r="K25" s="451">
        <f t="shared" si="11"/>
        <v>0</v>
      </c>
      <c r="L25" s="451">
        <f t="shared" si="12"/>
        <v>0</v>
      </c>
      <c r="M25" s="451">
        <f t="shared" si="13"/>
        <v>0</v>
      </c>
      <c r="N25" s="451">
        <f t="shared" si="14"/>
        <v>0</v>
      </c>
      <c r="O25" s="451">
        <f t="shared" si="15"/>
        <v>0</v>
      </c>
      <c r="P25" s="452">
        <f t="shared" si="16"/>
        <v>0</v>
      </c>
      <c r="Q25" s="450">
        <f t="shared" ca="1" si="17"/>
        <v>898.69944627546329</v>
      </c>
    </row>
    <row r="26" spans="1:17">
      <c r="A26" s="450" t="s">
        <v>637</v>
      </c>
      <c r="B26" s="451">
        <f t="shared" ca="1" si="2"/>
        <v>647.1558015633002</v>
      </c>
      <c r="C26" s="451">
        <f t="shared" ca="1" si="3"/>
        <v>0</v>
      </c>
      <c r="D26" s="451">
        <f t="shared" si="4"/>
        <v>705.38367548244298</v>
      </c>
      <c r="E26" s="451">
        <f t="shared" si="5"/>
        <v>96.594286844248117</v>
      </c>
      <c r="F26" s="451">
        <f t="shared" si="6"/>
        <v>411.72297449800874</v>
      </c>
      <c r="G26" s="451">
        <f t="shared" si="7"/>
        <v>0</v>
      </c>
      <c r="H26" s="451">
        <f t="shared" si="8"/>
        <v>0</v>
      </c>
      <c r="I26" s="451">
        <f t="shared" si="9"/>
        <v>0</v>
      </c>
      <c r="J26" s="451">
        <f t="shared" si="10"/>
        <v>11.449638672771703</v>
      </c>
      <c r="K26" s="451">
        <f t="shared" si="11"/>
        <v>0</v>
      </c>
      <c r="L26" s="451">
        <f t="shared" si="12"/>
        <v>0</v>
      </c>
      <c r="M26" s="451">
        <f t="shared" si="13"/>
        <v>0</v>
      </c>
      <c r="N26" s="451">
        <f t="shared" si="14"/>
        <v>0</v>
      </c>
      <c r="O26" s="451">
        <f t="shared" si="15"/>
        <v>0</v>
      </c>
      <c r="P26" s="452">
        <f t="shared" si="16"/>
        <v>0</v>
      </c>
      <c r="Q26" s="450">
        <f t="shared" ca="1" si="17"/>
        <v>1872.3063770607716</v>
      </c>
    </row>
    <row r="27" spans="1:17" s="456" customFormat="1">
      <c r="A27" s="454" t="s">
        <v>563</v>
      </c>
      <c r="B27" s="754">
        <f t="shared" ca="1" si="2"/>
        <v>15.510106984282208</v>
      </c>
      <c r="C27" s="455">
        <f t="shared" ca="1" si="3"/>
        <v>0</v>
      </c>
      <c r="D27" s="455">
        <f t="shared" si="4"/>
        <v>29.309596600703031</v>
      </c>
      <c r="E27" s="455">
        <f t="shared" si="5"/>
        <v>167.70809458314289</v>
      </c>
      <c r="F27" s="455">
        <f t="shared" si="6"/>
        <v>0</v>
      </c>
      <c r="G27" s="455">
        <f t="shared" si="7"/>
        <v>64410.544130531242</v>
      </c>
      <c r="H27" s="455">
        <f t="shared" si="8"/>
        <v>12644.961308961687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77268.03323766106</v>
      </c>
    </row>
    <row r="28" spans="1:17">
      <c r="A28" s="450" t="s">
        <v>553</v>
      </c>
      <c r="B28" s="451">
        <f t="shared" ca="1" si="2"/>
        <v>0</v>
      </c>
      <c r="C28" s="451">
        <f t="shared" ca="1" si="3"/>
        <v>0</v>
      </c>
      <c r="D28" s="451">
        <f t="shared" si="4"/>
        <v>0</v>
      </c>
      <c r="E28" s="451">
        <f t="shared" si="5"/>
        <v>0</v>
      </c>
      <c r="F28" s="451">
        <f t="shared" si="6"/>
        <v>0</v>
      </c>
      <c r="G28" s="451">
        <f t="shared" si="7"/>
        <v>1090.8271285214221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1090.8271285214221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321.46954913508921</v>
      </c>
      <c r="C32" s="451">
        <f t="shared" ca="1" si="3"/>
        <v>0</v>
      </c>
      <c r="D32" s="451">
        <f t="shared" si="4"/>
        <v>986.72680314840011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1308.1963522834894</v>
      </c>
    </row>
    <row r="33" spans="1:17" s="460" customFormat="1">
      <c r="A33" s="1004" t="s">
        <v>557</v>
      </c>
      <c r="B33" s="944">
        <f ca="1">SUM(B22:B32)</f>
        <v>16799.334200980189</v>
      </c>
      <c r="C33" s="944">
        <f t="shared" ref="C33:Q33" ca="1" si="18">SUM(C22:C32)</f>
        <v>0</v>
      </c>
      <c r="D33" s="944">
        <f t="shared" ca="1" si="18"/>
        <v>34930.758950924748</v>
      </c>
      <c r="E33" s="944">
        <f t="shared" si="18"/>
        <v>4570.044458982471</v>
      </c>
      <c r="F33" s="944">
        <f t="shared" ca="1" si="18"/>
        <v>12937.387435922752</v>
      </c>
      <c r="G33" s="944">
        <f t="shared" si="18"/>
        <v>65501.371259052663</v>
      </c>
      <c r="H33" s="944">
        <f t="shared" si="18"/>
        <v>12644.961308961687</v>
      </c>
      <c r="I33" s="944">
        <f t="shared" si="18"/>
        <v>0</v>
      </c>
      <c r="J33" s="944">
        <f t="shared" si="18"/>
        <v>38.371236078434137</v>
      </c>
      <c r="K33" s="944">
        <f t="shared" si="18"/>
        <v>0</v>
      </c>
      <c r="L33" s="944">
        <f t="shared" ca="1" si="18"/>
        <v>0</v>
      </c>
      <c r="M33" s="944">
        <f t="shared" si="18"/>
        <v>0</v>
      </c>
      <c r="N33" s="944">
        <f t="shared" ca="1" si="18"/>
        <v>0</v>
      </c>
      <c r="O33" s="944">
        <f t="shared" si="18"/>
        <v>0</v>
      </c>
      <c r="P33" s="944">
        <f t="shared" si="18"/>
        <v>0</v>
      </c>
      <c r="Q33" s="944">
        <f t="shared" ca="1" si="18"/>
        <v>147422.22885090296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29.11242603550296</v>
      </c>
      <c r="C5" s="1021"/>
      <c r="D5" s="1021"/>
      <c r="E5" s="1021"/>
      <c r="F5" s="1021"/>
      <c r="G5" s="1021"/>
      <c r="H5" s="1021"/>
      <c r="I5" s="1021"/>
      <c r="J5" s="1021"/>
      <c r="K5" s="1021"/>
      <c r="L5" s="1021"/>
      <c r="M5" s="1021"/>
      <c r="N5" s="1021"/>
      <c r="O5" s="1021"/>
      <c r="P5" s="1022">
        <f>'SEAP template'!Q73</f>
        <v>0</v>
      </c>
    </row>
    <row r="6" spans="1:16">
      <c r="A6" s="1023" t="s">
        <v>250</v>
      </c>
      <c r="B6" s="1021">
        <f>'SEAP template'!B74</f>
        <v>3198.8539418527007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3227.9663678882039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0.21199756334411646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0.21199756334411646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2020-06-20T15:52:55Z</dcterms:modified>
</cp:coreProperties>
</file>