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C9" i="18" s="1"/>
  <c r="D77" i="14" s="1"/>
  <c r="D9" i="59" s="1"/>
  <c r="O37" i="18"/>
  <c r="N37" i="18"/>
  <c r="B9" i="18" s="1"/>
  <c r="M37" i="18"/>
  <c r="W33" i="18"/>
  <c r="V33" i="18"/>
  <c r="U33" i="18"/>
  <c r="T33" i="18"/>
  <c r="S33" i="18"/>
  <c r="F6" i="17" s="1"/>
  <c r="R33" i="18"/>
  <c r="Q33" i="18"/>
  <c r="P33" i="18"/>
  <c r="O33" i="18"/>
  <c r="N33" i="18"/>
  <c r="M33" i="18"/>
  <c r="W32" i="18"/>
  <c r="V32" i="18"/>
  <c r="U32" i="18"/>
  <c r="T32" i="18"/>
  <c r="S32" i="18"/>
  <c r="R32" i="18"/>
  <c r="Q32" i="18"/>
  <c r="P32" i="18"/>
  <c r="O32" i="18"/>
  <c r="C13" i="15" s="1"/>
  <c r="N32" i="18"/>
  <c r="B13" i="15" s="1"/>
  <c r="M32" i="18"/>
  <c r="W31" i="18"/>
  <c r="V31" i="18"/>
  <c r="U31" i="18"/>
  <c r="T31" i="18"/>
  <c r="S31" i="18"/>
  <c r="R31" i="18"/>
  <c r="Q31" i="18"/>
  <c r="P31" i="18"/>
  <c r="O31" i="18"/>
  <c r="N31" i="18"/>
  <c r="M31" i="18"/>
  <c r="W30" i="18"/>
  <c r="V30" i="18"/>
  <c r="U30" i="18"/>
  <c r="T30" i="18"/>
  <c r="S30" i="18"/>
  <c r="R30" i="18"/>
  <c r="Q30" i="18"/>
  <c r="P30" i="18"/>
  <c r="O30" i="18"/>
  <c r="N30" i="18"/>
  <c r="B8" i="18" s="1"/>
  <c r="M30"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D13" i="15"/>
  <c r="L6" i="17"/>
  <c r="F20" i="18"/>
  <c r="R25" i="14"/>
  <c r="F13" i="15"/>
  <c r="N6" i="17"/>
  <c r="B46" i="18"/>
  <c r="E50" i="18" s="1"/>
  <c r="E17" i="18" s="1"/>
  <c r="I9" i="18"/>
  <c r="I77" i="14" s="1"/>
  <c r="I9" i="59" s="1"/>
  <c r="B17" i="18"/>
  <c r="B20" i="18" s="1"/>
  <c r="C6" i="17"/>
  <c r="E10" i="59"/>
  <c r="G77" i="14"/>
  <c r="G9" i="59" s="1"/>
  <c r="G10" i="59" s="1"/>
  <c r="J9" i="18"/>
  <c r="J77" i="14" s="1"/>
  <c r="J9" i="59" s="1"/>
  <c r="E20" i="59"/>
  <c r="C46" i="18"/>
  <c r="I49"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I50" i="18" l="1"/>
  <c r="H17" i="18" s="1"/>
  <c r="B50" i="18"/>
  <c r="C17" i="18" s="1"/>
  <c r="F50" i="18"/>
  <c r="G50" i="18"/>
  <c r="B49" i="18"/>
  <c r="C8" i="18" s="1"/>
  <c r="H50" i="18"/>
  <c r="Q77" i="14"/>
  <c r="P9" i="59" s="1"/>
  <c r="D49" i="18"/>
  <c r="C50" i="18"/>
  <c r="D50" i="18"/>
  <c r="O9" i="18"/>
  <c r="G78" i="14"/>
  <c r="C77" i="14"/>
  <c r="C9" i="59" s="1"/>
  <c r="F49" i="18"/>
  <c r="I8" i="18" s="1"/>
  <c r="H49" i="18"/>
  <c r="C49" i="18"/>
  <c r="E49" i="18"/>
  <c r="E8" i="18" s="1"/>
  <c r="F76" i="14" s="1"/>
  <c r="F8" i="59" s="1"/>
  <c r="F10" i="59" s="1"/>
  <c r="B77" i="14"/>
  <c r="B9" i="59" s="1"/>
  <c r="G49"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E5" i="48" l="1"/>
  <c r="F10" i="14"/>
  <c r="N63" i="14"/>
  <c r="O15" i="48"/>
  <c r="J5" i="48"/>
  <c r="J23" i="48" s="1"/>
  <c r="K10" i="14"/>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K16" i="14" l="1"/>
  <c r="K27" i="14" s="1"/>
  <c r="E8" i="48"/>
  <c r="E26" i="48" s="1"/>
  <c r="F13" i="14"/>
  <c r="F16" i="14" s="1"/>
  <c r="F27" i="14" s="1"/>
  <c r="F63" i="14" s="1"/>
  <c r="J22" i="16"/>
  <c r="K43" i="14" s="1"/>
  <c r="K46" i="14" s="1"/>
  <c r="K61" i="14" s="1"/>
  <c r="K63" i="14" s="1"/>
  <c r="J8" i="48"/>
  <c r="J26" i="48" s="1"/>
  <c r="J33" i="48" s="1"/>
  <c r="K13" i="14"/>
  <c r="E23" i="48"/>
  <c r="E15" i="48"/>
  <c r="N8" i="48"/>
  <c r="N26" i="48" s="1"/>
  <c r="O13" i="14"/>
  <c r="N22" i="16"/>
  <c r="O43" i="14" s="1"/>
  <c r="G13" i="14"/>
  <c r="R13" i="14" s="1"/>
  <c r="F8" i="48"/>
  <c r="J15" i="48" l="1"/>
  <c r="E33"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<sst xmlns="http://schemas.openxmlformats.org/spreadsheetml/2006/main" count="2423" uniqueCount="904">
  <si>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</si>
  <si>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</si>
  <si>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</si>
  <si>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</si>
  <si>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</si>
  <si>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</si>
  <si>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</si>
  <si>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</si>
  <si>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</si>
  <si>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</si>
  <si>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</si>
  <si>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</si>
  <si>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</si>
  <si>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</si>
  <si>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</si>
  <si>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</si>
  <si>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</si>
  <si>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</si>
  <si>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</si>
  <si>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</si>
  <si>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</si>
  <si>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</si>
  <si>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</si>
  <si>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</si>
  <si>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</si>
  <si>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</si>
  <si>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</si>
  <si>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</si>
  <si>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</si>
  <si>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</si>
  <si>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</si>
  <si>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</si>
  <si>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</si>
  <si>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</si>
  <si>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</si>
  <si>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</si>
  <si>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</si>
  <si>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</si>
  <si>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</si>
  <si>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</si>
  <si>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</si>
  <si>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</si>
  <si>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</si>
  <si>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</si>
  <si>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</si>
  <si>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</si>
  <si>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</si>
  <si>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</si>
  <si>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</si>
  <si>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</si>
  <si>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</si>
  <si>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</si>
  <si>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</si>
  <si>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</si>
  <si>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</si>
  <si>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</si>
  <si>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</si>
  <si>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</si>
  <si>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</si>
  <si>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</si>
  <si>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</si>
  <si>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</si>
  <si>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</si>
  <si>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</si>
  <si>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</si>
  <si>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</si>
  <si>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</si>
  <si>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</si>
  <si>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</si>
  <si>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</si>
  <si>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</si>
  <si>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</si>
  <si>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</si>
  <si>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</si>
  <si>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</si>
  <si>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</si>
  <si>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</si>
  <si>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</si>
  <si>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</si>
  <si>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</si>
  <si>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</si>
  <si>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</si>
  <si>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</si>
  <si>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</si>
  <si>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</si>
  <si>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</si>
  <si>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</si>
  <si>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</si>
  <si>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</si>
  <si>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</si>
  <si>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</si>
  <si>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</si>
  <si>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</si>
  <si>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</si>
  <si>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</si>
  <si>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</si>
  <si>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</si>
  <si>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</si>
  <si>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</si>
  <si>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</si>
  <si>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</si>
  <si>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</si>
  <si>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</si>
  <si>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</si>
  <si>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</si>
  <si>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</si>
  <si>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</si>
  <si>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</si>
  <si>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</si>
  <si>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</si>
  <si>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</si>
  <si>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</si>
  <si>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</si>
  <si>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</si>
  <si>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</si>
  <si>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</si>
  <si>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</si>
  <si>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</si>
  <si>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</si>
  <si>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</si>
  <si>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</si>
  <si>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</si>
  <si>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</si>
  <si>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</si>
  <si>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</si>
  <si>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</si>
  <si>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</si>
  <si>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</si>
  <si>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</si>
  <si>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</si>
  <si>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</si>
  <si>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</si>
  <si>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</si>
  <si>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</si>
  <si>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</si>
  <si>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</si>
  <si>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</si>
  <si>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</si>
  <si>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</si>
  <si>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</si>
  <si>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</si>
  <si>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</si>
  <si>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</si>
  <si>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</si>
  <si>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</si>
  <si>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</si>
  <si>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</si>
  <si>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</si>
  <si>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</si>
  <si>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</si>
  <si>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</si>
  <si>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</si>
  <si>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</si>
  <si>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</si>
  <si>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</si>
  <si>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</si>
  <si>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</si>
  <si>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</si>
  <si>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</si>
  <si>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</si>
  <si>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</si>
  <si>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</si>
  <si>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</si>
  <si>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</si>
  <si>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</si>
  <si>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</si>
  <si>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</si>
  <si>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</si>
  <si>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</si>
  <si>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</si>
  <si>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</si>
  <si>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</si>
  <si>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</si>
  <si>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</si>
  <si>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</si>
  <si>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</si>
  <si>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</si>
  <si>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</si>
  <si>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</si>
  <si>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</si>
  <si>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</si>
  <si>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</si>
  <si>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</si>
  <si>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</si>
  <si>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</si>
  <si>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</si>
  <si>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</si>
  <si>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</si>
  <si>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</si>
  <si>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</si>
  <si>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</si>
  <si>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</si>
  <si>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</si>
  <si>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</si>
  <si>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</si>
  <si>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</si>
  <si>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</si>
  <si>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</si>
  <si>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</si>
  <si>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</si>
  <si>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</si>
  <si>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</si>
  <si>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</si>
  <si>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</si>
  <si>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</si>
  <si>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</si>
  <si>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</si>
  <si>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</si>
  <si>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</si>
  <si>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</si>
  <si>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</si>
  <si>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</si>
  <si>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</si>
  <si>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</si>
  <si>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</si>
  <si>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</si>
  <si>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</si>
  <si>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</si>
  <si>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</si>
  <si>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</si>
  <si>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</si>
  <si>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</si>
  <si>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</si>
  <si>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</si>
  <si>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</si>
  <si>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</si>
  <si>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</si>
  <si>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</si>
  <si>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</si>
  <si>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</si>
  <si>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</si>
  <si>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</si>
  <si>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</si>
  <si>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</si>
  <si>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</si>
  <si>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</si>
  <si>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</si>
  <si>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</si>
  <si>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</si>
  <si>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</si>
  <si>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</si>
  <si>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</si>
  <si>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</si>
  <si>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</si>
  <si>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</si>
  <si>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</si>
  <si>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</si>
  <si>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</si>
  <si>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</si>
  <si>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</si>
  <si>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</si>
  <si>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</si>
  <si>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</si>
  <si>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</si>
  <si>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</si>
  <si>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</si>
  <si>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</si>
  <si>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</si>
  <si>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</si>
  <si>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</si>
  <si>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</si>
  <si>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</si>
  <si>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</si>
  <si>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</si>
  <si>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</si>
  <si>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</si>
  <si>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</si>
  <si>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</si>
  <si>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</si>
  <si>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</si>
  <si>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</si>
  <si>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</si>
  <si>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</si>
  <si>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</si>
  <si>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</si>
  <si>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</si>
  <si>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</si>
  <si>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</si>
  <si>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</si>
  <si>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</si>
  <si>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</si>
  <si>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</si>
  <si>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</si>
  <si>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</si>
  <si>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</si>
  <si>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</si>
  <si>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</si>
  <si>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</si>
  <si>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</si>
  <si>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</si>
  <si>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</si>
  <si>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</si>
  <si>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</si>
  <si>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</si>
  <si>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</si>
  <si>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</si>
  <si>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</si>
  <si>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</si>
  <si>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</si>
  <si>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</si>
  <si>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</si>
  <si>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</si>
  <si>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</si>
  <si>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</si>
  <si>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</si>
  <si>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</si>
  <si>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</si>
  <si>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</si>
  <si>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</si>
  <si>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</si>
  <si>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</si>
  <si>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</si>
  <si>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</si>
  <si>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</si>
  <si>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</si>
  <si>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</si>
  <si>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</si>
  <si>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</si>
  <si>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</si>
  <si>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</si>
  <si>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</si>
  <si>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</si>
  <si>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</si>
  <si>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</si>
  <si>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</si>
  <si>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</si>
  <si>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</si>
  <si>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</si>
  <si>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</si>
  <si>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</si>
  <si>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</si>
  <si>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</si>
  <si>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</si>
  <si>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</si>
  <si>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</si>
  <si>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</si>
  <si>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</si>
  <si>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</si>
  <si>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</si>
  <si>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</si>
  <si>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</si>
  <si>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</si>
  <si>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</si>
  <si>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</si>
  <si>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</si>
  <si>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</si>
  <si>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</si>
  <si>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</si>
  <si>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</si>
  <si>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</si>
  <si>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</si>
  <si>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</si>
  <si>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</si>
  <si>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</si>
  <si>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</si>
  <si>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</si>
  <si>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</si>
  <si>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</si>
  <si>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</si>
  <si>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</si>
  <si>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</si>
  <si>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</si>
  <si>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</si>
  <si>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</si>
  <si>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</si>
  <si>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</si>
  <si>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</si>
  <si>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</si>
  <si>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</si>
  <si>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</si>
  <si>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</si>
  <si>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</si>
  <si>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</si>
  <si>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</si>
  <si>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</si>
  <si>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</si>
  <si>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</si>
  <si>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</si>
  <si>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</si>
  <si>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</si>
  <si>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</si>
  <si>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</si>
  <si>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</si>
  <si>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</si>
  <si>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</si>
  <si>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</si>
  <si>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</si>
  <si>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</si>
  <si>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</si>
  <si>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</si>
  <si>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</si>
  <si>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</si>
  <si>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</si>
  <si>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</si>
  <si>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</si>
  <si>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</si>
  <si>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</si>
  <si>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</si>
  <si>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</si>
  <si>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</si>
  <si>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</si>
  <si>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</si>
  <si>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</si>
  <si>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</si>
  <si>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</si>
  <si>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</si>
  <si>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</si>
  <si>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</si>
  <si>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</si>
  <si>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</si>
  <si>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</si>
  <si>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</si>
  <si>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</si>
  <si>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</si>
  <si>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</si>
  <si>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</si>
  <si>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</si>
  <si>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</si>
  <si>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</si>
  <si>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</si>
  <si>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</si>
  <si>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</si>
  <si>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</si>
  <si>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</si>
  <si>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</si>
  <si>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</si>
  <si>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</si>
  <si>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</si>
  <si>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</si>
  <si>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</si>
  <si>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</si>
  <si>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</si>
  <si>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</si>
  <si>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</si>
  <si>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</si>
  <si>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</si>
  <si>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</si>
  <si>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</si>
  <si>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</si>
  <si>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</si>
  <si>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</si>
  <si>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</si>
  <si>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</si>
  <si>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</si>
  <si>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</si>
  <si>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</si>
  <si>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</si>
  <si>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</si>
  <si>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</si>
  <si>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</si>
  <si>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</si>
  <si>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</si>
  <si>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</si>
  <si>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</si>
  <si>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</si>
  <si>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</si>
  <si>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</si>
  <si>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</si>
  <si>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</si>
  <si>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</si>
  <si>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</si>
  <si>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</si>
  <si>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</si>
  <si>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</si>
  <si>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</si>
  <si>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</si>
  <si>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</si>
  <si>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</si>
  <si>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</si>
  <si>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</si>
  <si>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</si>
  <si>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</si>
  <si>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</si>
  <si>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</si>
  <si>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</si>
  <si>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</si>
  <si>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</si>
  <si>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</si>
  <si>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</si>
  <si>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</si>
  <si>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</si>
  <si>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</si>
  <si>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</si>
  <si>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</si>
  <si>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</si>
  <si>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</si>
  <si>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</si>
  <si>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</si>
  <si>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</si>
  <si>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</si>
  <si>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</si>
  <si>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</si>
  <si>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</si>
  <si>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</si>
  <si>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</si>
  <si>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</si>
  <si>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</si>
  <si>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</si>
  <si>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</si>
  <si>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</si>
  <si>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</si>
  <si>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</si>
  <si>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</si>
  <si>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</si>
  <si>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</si>
  <si>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</si>
  <si>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</si>
  <si>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</si>
  <si>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</si>
  <si>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</si>
  <si>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</si>
  <si>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</si>
  <si>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</si>
  <si>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</si>
  <si>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</si>
  <si>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</si>
  <si>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</si>
  <si>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</si>
  <si>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</si>
  <si>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</si>
  <si>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</si>
  <si>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</si>
  <si>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</si>
  <si>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</si>
  <si>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</si>
  <si>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</si>
  <si>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</si>
  <si>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</si>
  <si>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</si>
  <si>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</si>
  <si>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</si>
  <si>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</si>
  <si>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</si>
  <si>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</si>
  <si>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</si>
  <si>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</si>
  <si>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</si>
  <si>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</si>
  <si>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</si>
  <si>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</si>
  <si>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</si>
  <si>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</si>
  <si>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</si>
  <si>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</si>
  <si>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</si>
  <si>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</si>
  <si>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</si>
  <si>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</si>
  <si>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</si>
  <si>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</si>
  <si>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</si>
  <si>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</si>
  <si>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</si>
  <si>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</si>
  <si>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</si>
  <si>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</si>
  <si>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</si>
  <si>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</si>
  <si>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</si>
  <si>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</si>
  <si>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</si>
  <si>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</si>
  <si>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</si>
  <si>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</si>
  <si>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</si>
  <si>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</si>
  <si>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</si>
  <si>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</si>
  <si>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</si>
  <si>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</si>
  <si>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</si>
  <si>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</si>
  <si>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</si>
  <si>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</si>
  <si>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</si>
  <si>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</si>
  <si>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</si>
  <si>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</si>
  <si>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</si>
  <si>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</si>
  <si>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</si>
  <si>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</si>
  <si>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</si>
  <si>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</si>
  <si>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</si>
  <si>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</si>
  <si>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</si>
  <si>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</si>
  <si>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</si>
  <si>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</si>
  <si>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</si>
  <si>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</si>
  <si>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</si>
  <si>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</si>
  <si>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</si>
  <si>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</si>
  <si>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</si>
  <si>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</si>
  <si>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</si>
  <si>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</si>
  <si>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</si>
  <si>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</si>
  <si>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</si>
  <si>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</si>
  <si>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</si>
  <si>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</si>
  <si>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</si>
  <si>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</si>
  <si>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</si>
  <si>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</si>
  <si>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</si>
  <si>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</si>
  <si>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</si>
  <si>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</si>
  <si>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</si>
  <si>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</si>
  <si>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</si>
  <si>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</si>
  <si>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</si>
  <si>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</si>
  <si>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</si>
  <si>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</si>
  <si>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</si>
  <si>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</si>
  <si>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</si>
  <si>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</si>
  <si>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</si>
  <si>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</si>
  <si>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</si>
  <si>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</si>
  <si>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</si>
  <si>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</si>
  <si>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</si>
  <si>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</si>
  <si>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</si>
  <si>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</si>
  <si>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</si>
  <si>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</si>
  <si>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</si>
  <si>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</si>
  <si>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</si>
  <si>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</si>
  <si>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</si>
  <si>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</si>
  <si>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</si>
  <si>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</si>
  <si>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</si>
  <si>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</si>
  <si>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</si>
  <si>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</si>
  <si>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</si>
  <si>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</si>
  <si>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</si>
  <si>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</si>
  <si>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</si>
  <si>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</si>
  <si>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</si>
  <si>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</si>
  <si>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</si>
  <si>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</si>
  <si>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</si>
  <si>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</si>
  <si>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</si>
  <si>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</si>
  <si>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</si>
  <si>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</si>
  <si>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</si>
  <si>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</si>
  <si>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</si>
  <si>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</si>
  <si>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</si>
  <si>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</si>
  <si>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</si>
  <si>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</si>
  <si>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</si>
  <si>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</si>
  <si>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</si>
  <si>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</si>
  <si>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</si>
  <si>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</si>
  <si>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</si>
  <si>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</si>
  <si>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</si>
  <si>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</si>
  <si>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</si>
  <si>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</si>
  <si>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</si>
  <si>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</si>
  <si>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</si>
  <si>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</si>
  <si>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</si>
  <si>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</si>
  <si>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</si>
  <si>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</si>
  <si>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</si>
  <si>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</si>
  <si>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</si>
  <si>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</si>
  <si>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</si>
  <si>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</si>
  <si>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</si>
  <si>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</si>
  <si>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</si>
  <si>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</si>
  <si>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</si>
  <si>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</si>
  <si>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</si>
  <si>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</si>
  <si>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</si>
  <si>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</si>
  <si>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</si>
  <si>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</si>
  <si>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</si>
  <si>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</si>
  <si>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</si>
  <si>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</si>
  <si>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</si>
  <si>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</si>
  <si>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</si>
  <si>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</si>
  <si>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</si>
  <si>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</si>
  <si>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</si>
  <si>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</si>
  <si>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</si>
  <si>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</si>
  <si>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</si>
  <si>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</si>
  <si>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</si>
  <si>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</si>
  <si>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</si>
  <si>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</si>
  <si>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</si>
  <si>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</si>
  <si>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</si>
  <si>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</si>
  <si>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</si>
  <si>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</si>
  <si>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</si>
  <si>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</si>
  <si>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</si>
  <si>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</si>
  <si>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</si>
  <si>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</si>
  <si>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</si>
  <si>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</si>
  <si>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</si>
  <si>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</si>
  <si>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</si>
  <si>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</si>
  <si>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</si>
  <si>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</si>
  <si>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</si>
  <si>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</si>
  <si>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</si>
  <si>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</si>
  <si>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</si>
  <si>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</si>
  <si>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</si>
  <si>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</si>
  <si>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</si>
  <si>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</si>
  <si>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</si>
  <si>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</si>
  <si>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</si>
  <si>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</si>
  <si>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</si>
  <si>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</si>
  <si>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</si>
  <si>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</si>
  <si>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</si>
  <si>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</si>
  <si>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</si>
  <si>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</si>
  <si>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</si>
  <si>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</si>
  <si>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</si>
  <si>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</si>
  <si>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</si>
  <si>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</si>
  <si>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</si>
  <si>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</si>
  <si>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</si>
  <si>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</si>
  <si>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</si>
  <si>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</si>
  <si>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</si>
  <si>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</si>
  <si>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</si>
  <si>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</si>
  <si>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</si>
  <si>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</si>
  <si>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</si>
  <si>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</si>
  <si>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</si>
  <si>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</si>
  <si>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</si>
  <si>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</si>
  <si>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</si>
  <si>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</si>
  <si>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</si>
  <si>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</si>
  <si>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</si>
  <si>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</si>
  <si>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</si>
  <si>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</si>
  <si>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</si>
  <si>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</si>
  <si>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</si>
  <si>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</si>
  <si>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</si>
  <si>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</si>
  <si>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</si>
  <si>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</si>
  <si>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</si>
  <si>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</si>
  <si>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</si>
  <si>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</si>
  <si>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</si>
  <si>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</si>
  <si>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</si>
  <si>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</si>
  <si>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</si>
  <si>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</si>
  <si>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</si>
  <si>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</si>
  <si>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</si>
  <si>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</si>
  <si>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</si>
  <si>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</si>
  <si>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</si>
  <si>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</si>
  <si>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</si>
  <si>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</si>
  <si>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</si>
  <si>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</si>
  <si>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</si>
  <si>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</si>
  <si>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</si>
  <si>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</si>
  <si>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</si>
  <si>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</si>
  <si>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</si>
  <si>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</si>
  <si>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</si>
  <si>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</si>
  <si>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</si>
  <si>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</si>
  <si>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</si>
  <si>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</si>
  <si>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</si>
  <si>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</si>
  <si>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</si>
  <si>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</si>
  <si>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</si>
  <si>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</si>
  <si>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</si>
  <si>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</si>
  <si>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</si>
  <si>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</si>
  <si>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</si>
  <si>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</si>
  <si>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</si>
  <si>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</si>
  <si>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</si>
  <si>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</si>
  <si>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</si>
  <si>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</si>
  <si>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</si>
  <si>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</si>
  <si>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</si>
  <si>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</si>
  <si>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</si>
  <si>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</si>
  <si>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</si>
  <si>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</si>
  <si>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</si>
  <si>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</si>
  <si>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</si>
  <si>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</si>
  <si>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</si>
  <si>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</si>
  <si>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</si>
  <si>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</si>
  <si>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</si>
  <si>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</si>
  <si>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</si>
  <si>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</si>
  <si>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</si>
  <si>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</si>
  <si>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23027</t>
  </si>
  <si>
    <t>HALLE</t>
  </si>
  <si>
    <t>Paarden&amp;pony's 200 - 600 kg</t>
  </si>
  <si>
    <t>Paarden&amp;pony's &lt; 200 kg</t>
  </si>
  <si>
    <t>Fluvius</t>
  </si>
  <si>
    <t>referentietaak LNE (2017); Jaarverslag De Lijn</t>
  </si>
  <si>
    <t>GSL BVBA</t>
  </si>
  <si>
    <t>Scheyssingen 17 , 1500 Halle</t>
  </si>
  <si>
    <t>WKK-0209 GSL</t>
  </si>
  <si>
    <t>interne verbrandingsmotor</t>
  </si>
  <si>
    <t>WKK interne verbrandinsgmotor (gas)</t>
  </si>
  <si>
    <t>IVERLEK</t>
  </si>
  <si>
    <t>WKK-0676 Eoly</t>
  </si>
  <si>
    <t>Zinkstraat 1 , 1500 Halle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</si>
</sst>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261165.080676552</c:v>
                </c:pt>
                <c:pt idx="1">
                  <c:v>189742.93206554203</c:v>
                </c:pt>
                <c:pt idx="2">
                  <c:v>2892.1010000000001</c:v>
                </c:pt>
                <c:pt idx="3">
                  <c:v>13335.715949464671</c:v>
                </c:pt>
                <c:pt idx="4">
                  <c:v>132865.5703264254</c:v>
                </c:pt>
                <c:pt idx="5">
                  <c:v>569935.46350720804</c:v>
                </c:pt>
                <c:pt idx="6">
                  <c:v>3980.8257820111935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261165.080676552</c:v>
                </c:pt>
                <c:pt idx="1">
                  <c:v>189742.93206554203</c:v>
                </c:pt>
                <c:pt idx="2">
                  <c:v>2892.1010000000001</c:v>
                </c:pt>
                <c:pt idx="3">
                  <c:v>13335.715949464671</c:v>
                </c:pt>
                <c:pt idx="4">
                  <c:v>132865.5703264254</c:v>
                </c:pt>
                <c:pt idx="5">
                  <c:v>569935.46350720804</c:v>
                </c:pt>
                <c:pt idx="6">
                  <c:v>3980.8257820111935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49351.794052549652</c:v>
                </c:pt>
                <c:pt idx="2">
                  <c:v>38767.520415570303</c:v>
                </c:pt>
                <c:pt idx="3">
                  <c:v>577.06935047487218</c:v>
                </c:pt>
                <c:pt idx="4">
                  <c:v>1686.5366334559628</c:v>
                </c:pt>
                <c:pt idx="5">
                  <c:v>28097.078391265401</c:v>
                </c:pt>
                <c:pt idx="6">
                  <c:v>145806.84852510915</c:v>
                </c:pt>
                <c:pt idx="7">
                  <c:v>1030.9432965481171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49351.794052549652</c:v>
                </c:pt>
                <c:pt idx="2">
                  <c:v>38767.520415570303</c:v>
                </c:pt>
                <c:pt idx="3">
                  <c:v>577.06935047487218</c:v>
                </c:pt>
                <c:pt idx="4">
                  <c:v>1686.5366334559628</c:v>
                </c:pt>
                <c:pt idx="5">
                  <c:v>28097.078391265401</c:v>
                </c:pt>
                <c:pt idx="6">
                  <c:v>145806.84852510915</c:v>
                </c:pt>
                <c:pt idx="7">
                  <c:v>1030.9432965481171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23027</v>
      </c>
      <c r="B6" s="390"/>
      <c r="C6" s="391"/>
    </row>
    <row r="7" spans="1:7" s="388" customFormat="1" ht="15.75" customHeight="1">
      <c r="A7" s="392" t="str">
        <f>txtMunicipality</f>
        <v>HALLE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0.19953291758305541</v>
      </c>
      <c r="C17" s="498">
        <f ca="1">'EF ele_warmte'!B22</f>
        <v>3.9029786679127591E-2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0.19953291758305541</v>
      </c>
      <c r="C29" s="499">
        <f ca="1">'EF ele_warmte'!B22</f>
        <v>3.9029786679127591E-2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16000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1645.74</v>
      </c>
      <c r="C14" s="330"/>
      <c r="D14" s="330"/>
      <c r="E14" s="330"/>
      <c r="F14" s="330"/>
    </row>
    <row r="15" spans="1:6">
      <c r="A15" s="1291" t="s">
        <v>183</v>
      </c>
      <c r="B15" s="1292">
        <v>3</v>
      </c>
      <c r="C15" s="330"/>
      <c r="D15" s="330"/>
      <c r="E15" s="330"/>
      <c r="F15" s="330"/>
    </row>
    <row r="16" spans="1:6">
      <c r="A16" s="1291" t="s">
        <v>6</v>
      </c>
      <c r="B16" s="1292">
        <v>250</v>
      </c>
      <c r="C16" s="330"/>
      <c r="D16" s="330"/>
      <c r="E16" s="330"/>
      <c r="F16" s="330"/>
    </row>
    <row r="17" spans="1:6">
      <c r="A17" s="1291" t="s">
        <v>7</v>
      </c>
      <c r="B17" s="1292">
        <v>232</v>
      </c>
      <c r="C17" s="330"/>
      <c r="D17" s="330"/>
      <c r="E17" s="330"/>
      <c r="F17" s="330"/>
    </row>
    <row r="18" spans="1:6">
      <c r="A18" s="1291" t="s">
        <v>8</v>
      </c>
      <c r="B18" s="1292">
        <v>299</v>
      </c>
      <c r="C18" s="330"/>
      <c r="D18" s="330"/>
      <c r="E18" s="330"/>
      <c r="F18" s="330"/>
    </row>
    <row r="19" spans="1:6">
      <c r="A19" s="1291" t="s">
        <v>9</v>
      </c>
      <c r="B19" s="1292">
        <v>240</v>
      </c>
      <c r="C19" s="330"/>
      <c r="D19" s="330"/>
      <c r="E19" s="330"/>
      <c r="F19" s="330"/>
    </row>
    <row r="20" spans="1:6">
      <c r="A20" s="1291" t="s">
        <v>10</v>
      </c>
      <c r="B20" s="1292">
        <v>262</v>
      </c>
      <c r="C20" s="330"/>
      <c r="D20" s="330"/>
      <c r="E20" s="330"/>
      <c r="F20" s="330"/>
    </row>
    <row r="21" spans="1:6">
      <c r="A21" s="1291" t="s">
        <v>11</v>
      </c>
      <c r="B21" s="1292">
        <v>705</v>
      </c>
      <c r="C21" s="330"/>
      <c r="D21" s="330"/>
      <c r="E21" s="330"/>
      <c r="F21" s="330"/>
    </row>
    <row r="22" spans="1:6">
      <c r="A22" s="1291" t="s">
        <v>12</v>
      </c>
      <c r="B22" s="1292">
        <v>1868</v>
      </c>
      <c r="C22" s="330"/>
      <c r="D22" s="330"/>
      <c r="E22" s="330"/>
      <c r="F22" s="330"/>
    </row>
    <row r="23" spans="1:6">
      <c r="A23" s="1291" t="s">
        <v>13</v>
      </c>
      <c r="B23" s="1292">
        <v>36</v>
      </c>
      <c r="C23" s="330"/>
      <c r="D23" s="330"/>
      <c r="E23" s="330"/>
      <c r="F23" s="330"/>
    </row>
    <row r="24" spans="1:6">
      <c r="A24" s="1291" t="s">
        <v>14</v>
      </c>
      <c r="B24" s="1292">
        <v>2</v>
      </c>
      <c r="C24" s="330"/>
      <c r="D24" s="330"/>
      <c r="E24" s="330"/>
      <c r="F24" s="330"/>
    </row>
    <row r="25" spans="1:6">
      <c r="A25" s="1291" t="s">
        <v>15</v>
      </c>
      <c r="B25" s="1292">
        <v>175</v>
      </c>
      <c r="C25" s="330"/>
      <c r="D25" s="330"/>
      <c r="E25" s="330"/>
      <c r="F25" s="330"/>
    </row>
    <row r="26" spans="1:6">
      <c r="A26" s="1291" t="s">
        <v>16</v>
      </c>
      <c r="B26" s="1292">
        <v>158</v>
      </c>
      <c r="C26" s="330"/>
      <c r="D26" s="330"/>
      <c r="E26" s="330"/>
      <c r="F26" s="330"/>
    </row>
    <row r="27" spans="1:6">
      <c r="A27" s="1291" t="s">
        <v>17</v>
      </c>
      <c r="B27" s="1292">
        <v>1</v>
      </c>
      <c r="C27" s="330"/>
      <c r="D27" s="330"/>
      <c r="E27" s="330"/>
      <c r="F27" s="330"/>
    </row>
    <row r="28" spans="1:6" s="43" customFormat="1">
      <c r="A28" s="1293" t="s">
        <v>18</v>
      </c>
      <c r="B28" s="1294">
        <v>516</v>
      </c>
      <c r="C28" s="336"/>
      <c r="D28" s="336"/>
      <c r="E28" s="336"/>
      <c r="F28" s="336"/>
    </row>
    <row r="29" spans="1:6">
      <c r="A29" s="1293" t="s">
        <v>892</v>
      </c>
      <c r="B29" s="1294">
        <v>171</v>
      </c>
      <c r="C29" s="336"/>
      <c r="D29" s="336"/>
      <c r="E29" s="336"/>
      <c r="F29" s="336"/>
    </row>
    <row r="30" spans="1:6">
      <c r="A30" s="1286" t="s">
        <v>893</v>
      </c>
      <c r="B30" s="1295">
        <v>22</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6</v>
      </c>
      <c r="D36" s="1292">
        <v>2432422.7884</v>
      </c>
      <c r="E36" s="1292">
        <v>7</v>
      </c>
      <c r="F36" s="1292">
        <v>28095.938232</v>
      </c>
    </row>
    <row r="37" spans="1:6">
      <c r="A37" s="1291" t="s">
        <v>24</v>
      </c>
      <c r="B37" s="1291" t="s">
        <v>27</v>
      </c>
      <c r="C37" s="1292">
        <v>0</v>
      </c>
      <c r="D37" s="1292">
        <v>0</v>
      </c>
      <c r="E37" s="1292">
        <v>0</v>
      </c>
      <c r="F37" s="1292">
        <v>0</v>
      </c>
    </row>
    <row r="38" spans="1:6">
      <c r="A38" s="1291" t="s">
        <v>24</v>
      </c>
      <c r="B38" s="1291" t="s">
        <v>28</v>
      </c>
      <c r="C38" s="1292">
        <v>2</v>
      </c>
      <c r="D38" s="1292">
        <v>20493.482317000002</v>
      </c>
      <c r="E38" s="1292">
        <v>5</v>
      </c>
      <c r="F38" s="1292">
        <v>22138.394091999999</v>
      </c>
    </row>
    <row r="39" spans="1:6">
      <c r="A39" s="1291" t="s">
        <v>29</v>
      </c>
      <c r="B39" s="1291" t="s">
        <v>30</v>
      </c>
      <c r="C39" s="1292">
        <v>12130</v>
      </c>
      <c r="D39" s="1292">
        <v>182775682.55000001</v>
      </c>
      <c r="E39" s="1292">
        <v>16255</v>
      </c>
      <c r="F39" s="1292">
        <v>58199663.248000003</v>
      </c>
    </row>
    <row r="40" spans="1:6">
      <c r="A40" s="1291" t="s">
        <v>29</v>
      </c>
      <c r="B40" s="1291" t="s">
        <v>28</v>
      </c>
      <c r="C40" s="1292">
        <v>0</v>
      </c>
      <c r="D40" s="1292">
        <v>0</v>
      </c>
      <c r="E40" s="1292">
        <v>0</v>
      </c>
      <c r="F40" s="1292">
        <v>0</v>
      </c>
    </row>
    <row r="41" spans="1:6">
      <c r="A41" s="1291" t="s">
        <v>31</v>
      </c>
      <c r="B41" s="1291" t="s">
        <v>32</v>
      </c>
      <c r="C41" s="1292">
        <v>92</v>
      </c>
      <c r="D41" s="1292">
        <v>1757172.2949000001</v>
      </c>
      <c r="E41" s="1292">
        <v>191</v>
      </c>
      <c r="F41" s="1292">
        <v>26715414.839000002</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6</v>
      </c>
      <c r="D44" s="1292">
        <v>712655.80558000004</v>
      </c>
      <c r="E44" s="1292">
        <v>13</v>
      </c>
      <c r="F44" s="1292">
        <v>644838.07013999997</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3</v>
      </c>
      <c r="D47" s="1292">
        <v>37667.913849999997</v>
      </c>
      <c r="E47" s="1292">
        <v>3</v>
      </c>
      <c r="F47" s="1292">
        <v>20877.580571999999</v>
      </c>
    </row>
    <row r="48" spans="1:6">
      <c r="A48" s="1291" t="s">
        <v>31</v>
      </c>
      <c r="B48" s="1291" t="s">
        <v>28</v>
      </c>
      <c r="C48" s="1292">
        <v>54</v>
      </c>
      <c r="D48" s="1292">
        <v>32044655.068999998</v>
      </c>
      <c r="E48" s="1292">
        <v>79</v>
      </c>
      <c r="F48" s="1292">
        <v>31050162.903999999</v>
      </c>
    </row>
    <row r="49" spans="1:6">
      <c r="A49" s="1291" t="s">
        <v>31</v>
      </c>
      <c r="B49" s="1291" t="s">
        <v>39</v>
      </c>
      <c r="C49" s="1292">
        <v>0</v>
      </c>
      <c r="D49" s="1292">
        <v>0</v>
      </c>
      <c r="E49" s="1292">
        <v>3</v>
      </c>
      <c r="F49" s="1292">
        <v>6071.0990510000001</v>
      </c>
    </row>
    <row r="50" spans="1:6">
      <c r="A50" s="1291" t="s">
        <v>31</v>
      </c>
      <c r="B50" s="1291" t="s">
        <v>40</v>
      </c>
      <c r="C50" s="1292">
        <v>5</v>
      </c>
      <c r="D50" s="1292">
        <v>111322.01445</v>
      </c>
      <c r="E50" s="1292">
        <v>7</v>
      </c>
      <c r="F50" s="1292">
        <v>274065.40876000002</v>
      </c>
    </row>
    <row r="51" spans="1:6">
      <c r="A51" s="1291" t="s">
        <v>41</v>
      </c>
      <c r="B51" s="1291" t="s">
        <v>42</v>
      </c>
      <c r="C51" s="1292">
        <v>14</v>
      </c>
      <c r="D51" s="1292">
        <v>239569.55841</v>
      </c>
      <c r="E51" s="1292">
        <v>41</v>
      </c>
      <c r="F51" s="1292">
        <v>270353.46143999998</v>
      </c>
    </row>
    <row r="52" spans="1:6">
      <c r="A52" s="1291" t="s">
        <v>41</v>
      </c>
      <c r="B52" s="1291" t="s">
        <v>28</v>
      </c>
      <c r="C52" s="1292">
        <v>8</v>
      </c>
      <c r="D52" s="1292">
        <v>2796467.0188000002</v>
      </c>
      <c r="E52" s="1292">
        <v>14</v>
      </c>
      <c r="F52" s="1292">
        <v>419084.50027000002</v>
      </c>
    </row>
    <row r="53" spans="1:6">
      <c r="A53" s="1291" t="s">
        <v>43</v>
      </c>
      <c r="B53" s="1291" t="s">
        <v>44</v>
      </c>
      <c r="C53" s="1292">
        <v>363</v>
      </c>
      <c r="D53" s="1292">
        <v>5817103.5232999995</v>
      </c>
      <c r="E53" s="1292">
        <v>615</v>
      </c>
      <c r="F53" s="1292">
        <v>2018313.3299</v>
      </c>
    </row>
    <row r="54" spans="1:6">
      <c r="A54" s="1291" t="s">
        <v>45</v>
      </c>
      <c r="B54" s="1291" t="s">
        <v>46</v>
      </c>
      <c r="C54" s="1292">
        <v>0</v>
      </c>
      <c r="D54" s="1292">
        <v>0</v>
      </c>
      <c r="E54" s="1292">
        <v>1</v>
      </c>
      <c r="F54" s="1292">
        <v>2892101</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77</v>
      </c>
      <c r="D57" s="1292">
        <v>4014481.7469000001</v>
      </c>
      <c r="E57" s="1292">
        <v>155</v>
      </c>
      <c r="F57" s="1292">
        <v>2274050.6139000002</v>
      </c>
    </row>
    <row r="58" spans="1:6">
      <c r="A58" s="1291" t="s">
        <v>48</v>
      </c>
      <c r="B58" s="1291" t="s">
        <v>50</v>
      </c>
      <c r="C58" s="1292">
        <v>62</v>
      </c>
      <c r="D58" s="1292">
        <v>2075909.6961999999</v>
      </c>
      <c r="E58" s="1292">
        <v>74</v>
      </c>
      <c r="F58" s="1292">
        <v>798908.05454000004</v>
      </c>
    </row>
    <row r="59" spans="1:6">
      <c r="A59" s="1291" t="s">
        <v>48</v>
      </c>
      <c r="B59" s="1291" t="s">
        <v>51</v>
      </c>
      <c r="C59" s="1292">
        <v>209</v>
      </c>
      <c r="D59" s="1292">
        <v>37942474.218999997</v>
      </c>
      <c r="E59" s="1292">
        <v>388</v>
      </c>
      <c r="F59" s="1292">
        <v>11396447.949999999</v>
      </c>
    </row>
    <row r="60" spans="1:6">
      <c r="A60" s="1291" t="s">
        <v>48</v>
      </c>
      <c r="B60" s="1291" t="s">
        <v>52</v>
      </c>
      <c r="C60" s="1292">
        <v>157</v>
      </c>
      <c r="D60" s="1292">
        <v>9401166.9956999999</v>
      </c>
      <c r="E60" s="1292">
        <v>264</v>
      </c>
      <c r="F60" s="1292">
        <v>4964668.5969000002</v>
      </c>
    </row>
    <row r="61" spans="1:6">
      <c r="A61" s="1291" t="s">
        <v>48</v>
      </c>
      <c r="B61" s="1291" t="s">
        <v>53</v>
      </c>
      <c r="C61" s="1292">
        <v>304</v>
      </c>
      <c r="D61" s="1292">
        <v>8709921.6002999991</v>
      </c>
      <c r="E61" s="1292">
        <v>640</v>
      </c>
      <c r="F61" s="1292">
        <v>51860817.347999997</v>
      </c>
    </row>
    <row r="62" spans="1:6">
      <c r="A62" s="1291" t="s">
        <v>48</v>
      </c>
      <c r="B62" s="1291" t="s">
        <v>54</v>
      </c>
      <c r="C62" s="1292">
        <v>26</v>
      </c>
      <c r="D62" s="1292">
        <v>7359050.5861</v>
      </c>
      <c r="E62" s="1292">
        <v>30</v>
      </c>
      <c r="F62" s="1292">
        <v>2143249.8563000001</v>
      </c>
    </row>
    <row r="63" spans="1:6">
      <c r="A63" s="1291" t="s">
        <v>48</v>
      </c>
      <c r="B63" s="1291" t="s">
        <v>28</v>
      </c>
      <c r="C63" s="1292">
        <v>200</v>
      </c>
      <c r="D63" s="1292">
        <v>17594944.067000002</v>
      </c>
      <c r="E63" s="1292">
        <v>252</v>
      </c>
      <c r="F63" s="1292">
        <v>11573001.736</v>
      </c>
    </row>
    <row r="64" spans="1:6">
      <c r="A64" s="1291" t="s">
        <v>55</v>
      </c>
      <c r="B64" s="1291" t="s">
        <v>56</v>
      </c>
      <c r="C64" s="1292">
        <v>0</v>
      </c>
      <c r="D64" s="1292">
        <v>0</v>
      </c>
      <c r="E64" s="1292">
        <v>0</v>
      </c>
      <c r="F64" s="1292">
        <v>0</v>
      </c>
    </row>
    <row r="65" spans="1:6">
      <c r="A65" s="1291" t="s">
        <v>55</v>
      </c>
      <c r="B65" s="1291" t="s">
        <v>28</v>
      </c>
      <c r="C65" s="1292">
        <v>7</v>
      </c>
      <c r="D65" s="1292">
        <v>397264.85807999998</v>
      </c>
      <c r="E65" s="1292">
        <v>11</v>
      </c>
      <c r="F65" s="1292">
        <v>506145.46904</v>
      </c>
    </row>
    <row r="66" spans="1:6">
      <c r="A66" s="1291" t="s">
        <v>55</v>
      </c>
      <c r="B66" s="1291" t="s">
        <v>57</v>
      </c>
      <c r="C66" s="1292">
        <v>0</v>
      </c>
      <c r="D66" s="1292">
        <v>0</v>
      </c>
      <c r="E66" s="1292">
        <v>22</v>
      </c>
      <c r="F66" s="1292">
        <v>604319</v>
      </c>
    </row>
    <row r="67" spans="1:6">
      <c r="A67" s="1293" t="s">
        <v>55</v>
      </c>
      <c r="B67" s="1293" t="s">
        <v>58</v>
      </c>
      <c r="C67" s="1292">
        <v>0</v>
      </c>
      <c r="D67" s="1292">
        <v>0</v>
      </c>
      <c r="E67" s="1292">
        <v>0</v>
      </c>
      <c r="F67" s="1292">
        <v>0</v>
      </c>
    </row>
    <row r="68" spans="1:6">
      <c r="A68" s="1286" t="s">
        <v>55</v>
      </c>
      <c r="B68" s="1286" t="s">
        <v>59</v>
      </c>
      <c r="C68" s="1295">
        <v>4</v>
      </c>
      <c r="D68" s="1295">
        <v>273818.68339999998</v>
      </c>
      <c r="E68" s="1295">
        <v>9</v>
      </c>
      <c r="F68" s="1295">
        <v>254283.14371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245365517</v>
      </c>
      <c r="E73" s="449"/>
      <c r="F73" s="330"/>
    </row>
    <row r="74" spans="1:6">
      <c r="A74" s="1291" t="s">
        <v>63</v>
      </c>
      <c r="B74" s="1291" t="s">
        <v>664</v>
      </c>
      <c r="C74" s="1305" t="s">
        <v>666</v>
      </c>
      <c r="D74" s="1306">
        <v>17198427.965462651</v>
      </c>
      <c r="E74" s="449"/>
      <c r="F74" s="330"/>
    </row>
    <row r="75" spans="1:6">
      <c r="A75" s="1291" t="s">
        <v>64</v>
      </c>
      <c r="B75" s="1291" t="s">
        <v>663</v>
      </c>
      <c r="C75" s="1305" t="s">
        <v>667</v>
      </c>
      <c r="D75" s="1306">
        <v>156019407</v>
      </c>
      <c r="E75" s="449"/>
      <c r="F75" s="330"/>
    </row>
    <row r="76" spans="1:6">
      <c r="A76" s="1291" t="s">
        <v>64</v>
      </c>
      <c r="B76" s="1291" t="s">
        <v>664</v>
      </c>
      <c r="C76" s="1305" t="s">
        <v>668</v>
      </c>
      <c r="D76" s="1306">
        <v>6419567.9654626502</v>
      </c>
      <c r="E76" s="449"/>
      <c r="F76" s="330"/>
    </row>
    <row r="77" spans="1:6">
      <c r="A77" s="1291" t="s">
        <v>65</v>
      </c>
      <c r="B77" s="1291" t="s">
        <v>663</v>
      </c>
      <c r="C77" s="1305" t="s">
        <v>669</v>
      </c>
      <c r="D77" s="1306">
        <v>225323659</v>
      </c>
      <c r="E77" s="449"/>
      <c r="F77" s="330"/>
    </row>
    <row r="78" spans="1:6">
      <c r="A78" s="1286" t="s">
        <v>65</v>
      </c>
      <c r="B78" s="1286" t="s">
        <v>664</v>
      </c>
      <c r="C78" s="1286" t="s">
        <v>670</v>
      </c>
      <c r="D78" s="1307">
        <v>20429693</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1080132.0690746997</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9877.5672521250053</v>
      </c>
      <c r="C90" s="330"/>
      <c r="D90" s="330"/>
      <c r="E90" s="330"/>
      <c r="F90" s="330"/>
    </row>
    <row r="91" spans="1:6">
      <c r="A91" s="1291" t="s">
        <v>67</v>
      </c>
      <c r="B91" s="1292">
        <v>3189.2324172634621</v>
      </c>
      <c r="C91" s="330"/>
      <c r="D91" s="330"/>
      <c r="E91" s="330"/>
      <c r="F91" s="330"/>
    </row>
    <row r="92" spans="1:6">
      <c r="A92" s="1286" t="s">
        <v>68</v>
      </c>
      <c r="B92" s="1287">
        <v>2496.3896061376795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8417</v>
      </c>
      <c r="C97" s="330"/>
      <c r="D97" s="330"/>
      <c r="E97" s="330"/>
      <c r="F97" s="330"/>
    </row>
    <row r="98" spans="1:6">
      <c r="A98" s="1291" t="s">
        <v>71</v>
      </c>
      <c r="B98" s="1292">
        <v>12</v>
      </c>
      <c r="C98" s="330"/>
      <c r="D98" s="330"/>
      <c r="E98" s="330"/>
      <c r="F98" s="330"/>
    </row>
    <row r="99" spans="1:6">
      <c r="A99" s="1291" t="s">
        <v>72</v>
      </c>
      <c r="B99" s="1292">
        <v>88</v>
      </c>
      <c r="C99" s="330"/>
      <c r="D99" s="330"/>
      <c r="E99" s="330"/>
      <c r="F99" s="330"/>
    </row>
    <row r="100" spans="1:6">
      <c r="A100" s="1291" t="s">
        <v>73</v>
      </c>
      <c r="B100" s="1292">
        <v>1444</v>
      </c>
      <c r="C100" s="330"/>
      <c r="D100" s="330"/>
      <c r="E100" s="330"/>
      <c r="F100" s="330"/>
    </row>
    <row r="101" spans="1:6">
      <c r="A101" s="1291" t="s">
        <v>74</v>
      </c>
      <c r="B101" s="1292">
        <v>114</v>
      </c>
      <c r="C101" s="330"/>
      <c r="D101" s="330"/>
      <c r="E101" s="330"/>
      <c r="F101" s="330"/>
    </row>
    <row r="102" spans="1:6">
      <c r="A102" s="1291" t="s">
        <v>75</v>
      </c>
      <c r="B102" s="1292">
        <v>218</v>
      </c>
      <c r="C102" s="330"/>
      <c r="D102" s="330"/>
      <c r="E102" s="330"/>
      <c r="F102" s="330"/>
    </row>
    <row r="103" spans="1:6">
      <c r="A103" s="1291" t="s">
        <v>76</v>
      </c>
      <c r="B103" s="1292">
        <v>298</v>
      </c>
      <c r="C103" s="330"/>
      <c r="D103" s="330"/>
      <c r="E103" s="330"/>
      <c r="F103" s="330"/>
    </row>
    <row r="104" spans="1:6">
      <c r="A104" s="1291" t="s">
        <v>77</v>
      </c>
      <c r="B104" s="1292">
        <v>3161</v>
      </c>
      <c r="C104" s="330"/>
      <c r="D104" s="330"/>
      <c r="E104" s="330"/>
      <c r="F104" s="330"/>
    </row>
    <row r="105" spans="1:6">
      <c r="A105" s="1286" t="s">
        <v>78</v>
      </c>
      <c r="B105" s="1295">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22</v>
      </c>
      <c r="C123" s="1292">
        <v>20</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115</v>
      </c>
      <c r="C129" s="330"/>
      <c r="D129" s="330"/>
      <c r="E129" s="330"/>
      <c r="F129" s="330"/>
    </row>
    <row r="130" spans="1:6">
      <c r="A130" s="1291" t="s">
        <v>294</v>
      </c>
      <c r="B130" s="1292">
        <v>0</v>
      </c>
      <c r="C130" s="330"/>
      <c r="D130" s="330"/>
      <c r="E130" s="330"/>
      <c r="F130" s="330"/>
    </row>
    <row r="131" spans="1:6">
      <c r="A131" s="1291" t="s">
        <v>295</v>
      </c>
      <c r="B131" s="1292">
        <v>3</v>
      </c>
      <c r="C131" s="330"/>
      <c r="D131" s="330"/>
      <c r="E131" s="330"/>
      <c r="F131" s="330"/>
    </row>
    <row r="132" spans="1:6">
      <c r="A132" s="1286" t="s">
        <v>296</v>
      </c>
      <c r="B132" s="1287">
        <v>10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211840.39367156161</v>
      </c>
      <c r="C3" s="43" t="s">
        <v>169</v>
      </c>
      <c r="D3" s="43"/>
      <c r="E3" s="154"/>
      <c r="F3" s="43"/>
      <c r="G3" s="43"/>
      <c r="H3" s="43"/>
      <c r="I3" s="43"/>
      <c r="J3" s="43"/>
      <c r="K3" s="96"/>
    </row>
    <row r="4" spans="1:11">
      <c r="A4" s="358" t="s">
        <v>170</v>
      </c>
      <c r="B4" s="49">
        <f>IF(ISERROR('SEAP template'!B78+'SEAP template'!C78),0,'SEAP template'!B78+'SEAP template'!C78)</f>
        <v>21652.814275526147</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237.67676470588233</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0.19953291758305541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339.53823529411767</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8699.4642857142862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3.9029786679127591E-2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2892.1010000000001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2892.1010000000001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0.19953291758305541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577.06935047487218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58199.663248000004</v>
      </c>
      <c r="C5" s="17">
        <f>IF(ISERROR('Eigen informatie GS &amp; warmtenet'!B57),0,'Eigen informatie GS &amp; warmtenet'!B57)</f>
        <v>0</v>
      </c>
      <c r="D5" s="30">
        <f>(SUM(HH_hh_gas_kWh,HH_rest_gas_kWh)/1000)*0.902</f>
        <v>164863.6656601</v>
      </c>
      <c r="E5" s="17">
        <f>B46*B57</f>
        <v>16741.093083337633</v>
      </c>
      <c r="F5" s="17">
        <f>B51*B62</f>
        <v>0</v>
      </c>
      <c r="G5" s="18"/>
      <c r="H5" s="17"/>
      <c r="I5" s="17"/>
      <c r="J5" s="17">
        <f>B50*B61+C50*C61</f>
        <v>0</v>
      </c>
      <c r="K5" s="17"/>
      <c r="L5" s="17"/>
      <c r="M5" s="17"/>
      <c r="N5" s="17">
        <f>B48*B59+C48*C59</f>
        <v>17331.176267850889</v>
      </c>
      <c r="O5" s="17">
        <f>B69*B70*B71</f>
        <v>211.05</v>
      </c>
      <c r="P5" s="17">
        <f>B77*B78*B79/1000-B77*B78*B79/1000/B80</f>
        <v>629.20000000000005</v>
      </c>
    </row>
    <row r="6" spans="1:16">
      <c r="A6" s="16" t="s">
        <v>623</v>
      </c>
      <c r="B6" s="762">
        <f>kWh_PV_kleiner_dan_10kW</f>
        <v>3189.2324172634621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61388.895665263466</v>
      </c>
      <c r="C8" s="21">
        <f>C5</f>
        <v>0</v>
      </c>
      <c r="D8" s="21">
        <f>D5</f>
        <v>164863.6656601</v>
      </c>
      <c r="E8" s="21">
        <f>E5</f>
        <v>16741.093083337633</v>
      </c>
      <c r="F8" s="21">
        <f>F5</f>
        <v>0</v>
      </c>
      <c r="G8" s="21"/>
      <c r="H8" s="21"/>
      <c r="I8" s="21"/>
      <c r="J8" s="21">
        <f>J5</f>
        <v>0</v>
      </c>
      <c r="K8" s="21"/>
      <c r="L8" s="21">
        <f>L5</f>
        <v>0</v>
      </c>
      <c r="M8" s="21">
        <f>M5</f>
        <v>0</v>
      </c>
      <c r="N8" s="21">
        <f>N5</f>
        <v>17331.176267850889</v>
      </c>
      <c r="O8" s="21">
        <f>O5</f>
        <v>211.05</v>
      </c>
      <c r="P8" s="21">
        <f>P5</f>
        <v>629.20000000000005</v>
      </c>
    </row>
    <row r="9" spans="1:16">
      <c r="B9" s="19"/>
      <c r="C9" s="19"/>
      <c r="D9" s="258"/>
      <c r="E9" s="19"/>
      <c r="F9" s="19"/>
      <c r="G9" s="19"/>
      <c r="H9" s="19"/>
      <c r="I9" s="19"/>
      <c r="J9" s="19"/>
      <c r="K9" s="19"/>
      <c r="L9" s="19"/>
      <c r="M9" s="19"/>
      <c r="N9" s="19"/>
      <c r="O9" s="19"/>
      <c r="P9" s="19"/>
    </row>
    <row r="10" spans="1:16">
      <c r="A10" s="24" t="s">
        <v>213</v>
      </c>
      <c r="B10" s="25">
        <f ca="1">'EF ele_warmte'!B12</f>
        <v>0.19953291758305541</v>
      </c>
      <c r="C10" s="25">
        <f ca="1">'EF ele_warmte'!B22</f>
        <v>3.9029786679127591E-2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12249.105459291803</v>
      </c>
      <c r="C12" s="23">
        <f ca="1">C10*C8</f>
        <v>0</v>
      </c>
      <c r="D12" s="23">
        <f>D8*D10</f>
        <v>33302.460463340205</v>
      </c>
      <c r="E12" s="23">
        <f>E10*E8</f>
        <v>3800.2281299176429</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8417</v>
      </c>
      <c r="C18" s="166" t="s">
        <v>110</v>
      </c>
      <c r="D18" s="228"/>
      <c r="E18" s="15"/>
    </row>
    <row r="19" spans="1:7">
      <c r="A19" s="171" t="s">
        <v>71</v>
      </c>
      <c r="B19" s="37">
        <f>aantalw2001_ander</f>
        <v>12</v>
      </c>
      <c r="C19" s="166" t="s">
        <v>110</v>
      </c>
      <c r="D19" s="229"/>
      <c r="E19" s="15"/>
    </row>
    <row r="20" spans="1:7">
      <c r="A20" s="171" t="s">
        <v>72</v>
      </c>
      <c r="B20" s="37">
        <f>aantalw2001_propaan</f>
        <v>88</v>
      </c>
      <c r="C20" s="167">
        <f>IF(ISERROR(B20/SUM($B$20,$B$21,$B$22)*100),0,B20/SUM($B$20,$B$21,$B$22)*100)</f>
        <v>5.3462940461725399</v>
      </c>
      <c r="D20" s="229"/>
      <c r="E20" s="15"/>
    </row>
    <row r="21" spans="1:7">
      <c r="A21" s="171" t="s">
        <v>73</v>
      </c>
      <c r="B21" s="37">
        <f>aantalw2001_elektriciteit</f>
        <v>1444</v>
      </c>
      <c r="C21" s="167">
        <f>IF(ISERROR(B21/SUM($B$20,$B$21,$B$22)*100),0,B21/SUM($B$20,$B$21,$B$22)*100)</f>
        <v>87.727825030376678</v>
      </c>
      <c r="D21" s="229"/>
      <c r="E21" s="15"/>
    </row>
    <row r="22" spans="1:7">
      <c r="A22" s="171" t="s">
        <v>74</v>
      </c>
      <c r="B22" s="37">
        <f>aantalw2001_hout</f>
        <v>114</v>
      </c>
      <c r="C22" s="167">
        <f>IF(ISERROR(B22/SUM($B$20,$B$21,$B$22)*100),0,B22/SUM($B$20,$B$21,$B$22)*100)</f>
        <v>6.9258809234507908</v>
      </c>
      <c r="D22" s="229"/>
      <c r="E22" s="15"/>
    </row>
    <row r="23" spans="1:7">
      <c r="A23" s="171" t="s">
        <v>75</v>
      </c>
      <c r="B23" s="37">
        <f>aantalw2001_niet_gespec</f>
        <v>218</v>
      </c>
      <c r="C23" s="166" t="s">
        <v>110</v>
      </c>
      <c r="D23" s="228"/>
      <c r="E23" s="15"/>
    </row>
    <row r="24" spans="1:7">
      <c r="A24" s="171" t="s">
        <v>76</v>
      </c>
      <c r="B24" s="37">
        <f>aantalw2001_steenkool</f>
        <v>298</v>
      </c>
      <c r="C24" s="166" t="s">
        <v>110</v>
      </c>
      <c r="D24" s="229"/>
      <c r="E24" s="15"/>
    </row>
    <row r="25" spans="1:7">
      <c r="A25" s="171" t="s">
        <v>77</v>
      </c>
      <c r="B25" s="37">
        <f>aantalw2001_stookolie</f>
        <v>3161</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695</v>
      </c>
      <c r="B28" s="37">
        <f>aantalHuishoudens</f>
        <v>16000</v>
      </c>
      <c r="C28" s="36"/>
      <c r="D28" s="228"/>
    </row>
    <row r="29" spans="1:7" s="15" customFormat="1">
      <c r="A29" s="230" t="s">
        <v>696</v>
      </c>
      <c r="B29" s="37">
        <f>SUM(HH_hh_gas_aantal,HH_rest_gas_aantal)</f>
        <v>12130</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12130</v>
      </c>
      <c r="C32" s="167">
        <f>IF(ISERROR(B32/SUM($B$32,$B$34,$B$35,$B$36,$B$38,$B$39)*100),0,B32/SUM($B$32,$B$34,$B$35,$B$36,$B$38,$B$39)*100)</f>
        <v>75.969186447047022</v>
      </c>
      <c r="D32" s="233"/>
      <c r="G32" s="15"/>
    </row>
    <row r="33" spans="1:7">
      <c r="A33" s="171" t="s">
        <v>71</v>
      </c>
      <c r="B33" s="34" t="s">
        <v>110</v>
      </c>
      <c r="C33" s="167"/>
      <c r="D33" s="233"/>
      <c r="G33" s="15"/>
    </row>
    <row r="34" spans="1:7">
      <c r="A34" s="171" t="s">
        <v>72</v>
      </c>
      <c r="B34" s="33">
        <f>IF((($B$28-$B$32-$B$39-$B$77-$B$38)*C20/100)&lt;0,0,($B$28-$B$32-$B$39-$B$77-$B$38)*C20/100)</f>
        <v>205.13730255164035</v>
      </c>
      <c r="C34" s="167">
        <f>IF(ISERROR(B34/SUM($B$32,$B$34,$B$35,$B$36,$B$38,$B$39)*100),0,B34/SUM($B$32,$B$34,$B$35,$B$36,$B$38,$B$39)*100)</f>
        <v>1.284757954228348</v>
      </c>
      <c r="D34" s="233"/>
      <c r="G34" s="15"/>
    </row>
    <row r="35" spans="1:7">
      <c r="A35" s="171" t="s">
        <v>73</v>
      </c>
      <c r="B35" s="33">
        <f>IF((($B$28-$B$32-$B$39-$B$77-$B$38)*C21/100)&lt;0,0,($B$28-$B$32-$B$39-$B$77-$B$38)*C21/100)</f>
        <v>3366.1166464155535</v>
      </c>
      <c r="C35" s="167">
        <f>IF(ISERROR(B35/SUM($B$32,$B$34,$B$35,$B$36,$B$38,$B$39)*100),0,B35/SUM($B$32,$B$34,$B$35,$B$36,$B$38,$B$39)*100)</f>
        <v>21.081710067110624</v>
      </c>
      <c r="D35" s="233"/>
      <c r="G35" s="15"/>
    </row>
    <row r="36" spans="1:7">
      <c r="A36" s="171" t="s">
        <v>74</v>
      </c>
      <c r="B36" s="33">
        <f>IF((($B$28-$B$32-$B$39-$B$77-$B$38)*C22/100)&lt;0,0,($B$28-$B$32-$B$39-$B$77-$B$38)*C22/100)</f>
        <v>265.7460510328068</v>
      </c>
      <c r="C36" s="167">
        <f>IF(ISERROR(B36/SUM($B$32,$B$34,$B$35,$B$36,$B$38,$B$39)*100),0,B36/SUM($B$32,$B$34,$B$35,$B$36,$B$38,$B$39)*100)</f>
        <v>1.6643455316139963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12130</v>
      </c>
      <c r="C44" s="34" t="s">
        <v>110</v>
      </c>
      <c r="D44" s="174"/>
    </row>
    <row r="45" spans="1:7">
      <c r="A45" s="171" t="s">
        <v>71</v>
      </c>
      <c r="B45" s="33" t="str">
        <f t="shared" si="0"/>
        <v>-</v>
      </c>
      <c r="C45" s="34" t="s">
        <v>110</v>
      </c>
      <c r="D45" s="174"/>
    </row>
    <row r="46" spans="1:7">
      <c r="A46" s="171" t="s">
        <v>72</v>
      </c>
      <c r="B46" s="33">
        <f t="shared" si="0"/>
        <v>205.13730255164035</v>
      </c>
      <c r="C46" s="34" t="s">
        <v>110</v>
      </c>
      <c r="D46" s="174"/>
    </row>
    <row r="47" spans="1:7">
      <c r="A47" s="171" t="s">
        <v>73</v>
      </c>
      <c r="B47" s="33">
        <f t="shared" si="0"/>
        <v>3366.1166464155535</v>
      </c>
      <c r="C47" s="34" t="s">
        <v>110</v>
      </c>
      <c r="D47" s="174"/>
    </row>
    <row r="48" spans="1:7">
      <c r="A48" s="171" t="s">
        <v>74</v>
      </c>
      <c r="B48" s="33">
        <f t="shared" si="0"/>
        <v>265.7460510328068</v>
      </c>
      <c r="C48" s="33">
        <f>B48*10</f>
        <v>2657.4605103280683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135</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33</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85011.14415564001</v>
      </c>
      <c r="C5" s="17">
        <f>IF(ISERROR('Eigen informatie GS &amp; warmtenet'!B58),0,'Eigen informatie GS &amp; warmtenet'!B58)</f>
        <v>0</v>
      </c>
      <c r="D5" s="30">
        <f>SUM(D6:D12)</f>
        <v>78562.349917902393</v>
      </c>
      <c r="E5" s="17">
        <f>SUM(E6:E12)</f>
        <v>1413.9681773479203</v>
      </c>
      <c r="F5" s="17">
        <f>SUM(F6:F12)</f>
        <v>22233.433215475357</v>
      </c>
      <c r="G5" s="18"/>
      <c r="H5" s="17"/>
      <c r="I5" s="17"/>
      <c r="J5" s="17">
        <f>SUM(J6:J12)</f>
        <v>0</v>
      </c>
      <c r="K5" s="17"/>
      <c r="L5" s="17"/>
      <c r="M5" s="17"/>
      <c r="N5" s="17">
        <f>SUM(N6:N12)</f>
        <v>2893.4615991763458</v>
      </c>
      <c r="O5" s="17">
        <f>B38*B39*B40</f>
        <v>0</v>
      </c>
      <c r="P5" s="17">
        <f>B46*B47*B48/1000-B46*B47*B48/1000/B49</f>
        <v>57.2</v>
      </c>
      <c r="R5" s="32"/>
    </row>
    <row r="6" spans="1:18">
      <c r="A6" s="32" t="s">
        <v>53</v>
      </c>
      <c r="B6" s="37">
        <f>B26</f>
        <v>51860.817347999997</v>
      </c>
      <c r="C6" s="33"/>
      <c r="D6" s="37">
        <f>IF(ISERROR(TER_kantoor_gas_kWh/1000),0,TER_kantoor_gas_kWh/1000)*0.902</f>
        <v>7856.3492834705985</v>
      </c>
      <c r="E6" s="33">
        <f>$C$26*'E Balans VL '!I12/100/3.6*1000000</f>
        <v>678.9219823489625</v>
      </c>
      <c r="F6" s="33">
        <f>$C$26*('E Balans VL '!L12+'E Balans VL '!N12)/100/3.6*1000000</f>
        <v>13223.972514072379</v>
      </c>
      <c r="G6" s="34"/>
      <c r="H6" s="33"/>
      <c r="I6" s="33"/>
      <c r="J6" s="33">
        <f>$C$26*('E Balans VL '!D12+'E Balans VL '!E12)/100/3.6*1000000</f>
        <v>0</v>
      </c>
      <c r="K6" s="33"/>
      <c r="L6" s="33"/>
      <c r="M6" s="33"/>
      <c r="N6" s="33">
        <f>$C$26*'E Balans VL '!Y12/100/3.6*1000000</f>
        <v>52.035455872608324</v>
      </c>
      <c r="O6" s="33"/>
      <c r="P6" s="33"/>
      <c r="R6" s="32"/>
    </row>
    <row r="7" spans="1:18">
      <c r="A7" s="32" t="s">
        <v>52</v>
      </c>
      <c r="B7" s="37">
        <f t="shared" ref="B7:B12" si="0">B27</f>
        <v>4964.6685969</v>
      </c>
      <c r="C7" s="33"/>
      <c r="D7" s="37">
        <f>IF(ISERROR(TER_horeca_gas_kWh/1000),0,TER_horeca_gas_kWh/1000)*0.902</f>
        <v>8479.8526301214006</v>
      </c>
      <c r="E7" s="33">
        <f>$C$27*'E Balans VL '!I9/100/3.6*1000000</f>
        <v>164.30033149137114</v>
      </c>
      <c r="F7" s="33">
        <f>$C$27*('E Balans VL '!L9+'E Balans VL '!N9)/100/3.6*1000000</f>
        <v>2134.78846975224</v>
      </c>
      <c r="G7" s="34"/>
      <c r="H7" s="33"/>
      <c r="I7" s="33"/>
      <c r="J7" s="33">
        <f>$C$27*('E Balans VL '!D9+'E Balans VL '!E9)/100/3.6*1000000</f>
        <v>0</v>
      </c>
      <c r="K7" s="33"/>
      <c r="L7" s="33"/>
      <c r="M7" s="33"/>
      <c r="N7" s="33">
        <f>$C$27*'E Balans VL '!Y9/100/3.6*1000000</f>
        <v>1.1950678261736145</v>
      </c>
      <c r="O7" s="33"/>
      <c r="P7" s="33"/>
      <c r="R7" s="32"/>
    </row>
    <row r="8" spans="1:18">
      <c r="A8" s="6" t="s">
        <v>51</v>
      </c>
      <c r="B8" s="37">
        <f t="shared" si="0"/>
        <v>11396.44795</v>
      </c>
      <c r="C8" s="33"/>
      <c r="D8" s="37">
        <f>IF(ISERROR(TER_handel_gas_kWh/1000),0,TER_handel_gas_kWh/1000)*0.902</f>
        <v>34224.111745538001</v>
      </c>
      <c r="E8" s="33">
        <f>$C$28*'E Balans VL '!I13/100/3.6*1000000</f>
        <v>359.6893105561345</v>
      </c>
      <c r="F8" s="33">
        <f>$C$28*('E Balans VL '!L13+'E Balans VL '!N13)/100/3.6*1000000</f>
        <v>2235.0441219841427</v>
      </c>
      <c r="G8" s="34"/>
      <c r="H8" s="33"/>
      <c r="I8" s="33"/>
      <c r="J8" s="33">
        <f>$C$28*('E Balans VL '!D13+'E Balans VL '!E13)/100/3.6*1000000</f>
        <v>0</v>
      </c>
      <c r="K8" s="33"/>
      <c r="L8" s="33"/>
      <c r="M8" s="33"/>
      <c r="N8" s="33">
        <f>$C$28*'E Balans VL '!Y13/100/3.6*1000000</f>
        <v>13.525371123443332</v>
      </c>
      <c r="O8" s="33"/>
      <c r="P8" s="33"/>
      <c r="R8" s="32"/>
    </row>
    <row r="9" spans="1:18">
      <c r="A9" s="32" t="s">
        <v>50</v>
      </c>
      <c r="B9" s="37">
        <f t="shared" si="0"/>
        <v>798.90805454000008</v>
      </c>
      <c r="C9" s="33"/>
      <c r="D9" s="37">
        <f>IF(ISERROR(TER_gezond_gas_kWh/1000),0,TER_gezond_gas_kWh/1000)*0.902</f>
        <v>1872.4705459724</v>
      </c>
      <c r="E9" s="33">
        <f>$C$29*'E Balans VL '!I10/100/3.6*1000000</f>
        <v>0.10228360251768499</v>
      </c>
      <c r="F9" s="33">
        <f>$C$29*('E Balans VL '!L10+'E Balans VL '!N10)/100/3.6*1000000</f>
        <v>166.4460330659544</v>
      </c>
      <c r="G9" s="34"/>
      <c r="H9" s="33"/>
      <c r="I9" s="33"/>
      <c r="J9" s="33">
        <f>$C$29*('E Balans VL '!D10+'E Balans VL '!E10)/100/3.6*1000000</f>
        <v>0</v>
      </c>
      <c r="K9" s="33"/>
      <c r="L9" s="33"/>
      <c r="M9" s="33"/>
      <c r="N9" s="33">
        <f>$C$29*'E Balans VL '!Y10/100/3.6*1000000</f>
        <v>9.3835527141621569</v>
      </c>
      <c r="O9" s="33"/>
      <c r="P9" s="33"/>
      <c r="R9" s="32"/>
    </row>
    <row r="10" spans="1:18">
      <c r="A10" s="32" t="s">
        <v>49</v>
      </c>
      <c r="B10" s="37">
        <f t="shared" si="0"/>
        <v>2274.0506139000004</v>
      </c>
      <c r="C10" s="33"/>
      <c r="D10" s="37">
        <f>IF(ISERROR(TER_ander_gas_kWh/1000),0,TER_ander_gas_kWh/1000)*0.902</f>
        <v>3621.0625357038002</v>
      </c>
      <c r="E10" s="33">
        <f>$C$30*'E Balans VL '!I14/100/3.6*1000000</f>
        <v>3.4196373448560218</v>
      </c>
      <c r="F10" s="33">
        <f>$C$30*('E Balans VL '!L14+'E Balans VL '!N14)/100/3.6*1000000</f>
        <v>502.03707244405183</v>
      </c>
      <c r="G10" s="34"/>
      <c r="H10" s="33"/>
      <c r="I10" s="33"/>
      <c r="J10" s="33">
        <f>$C$30*('E Balans VL '!D14+'E Balans VL '!E14)/100/3.6*1000000</f>
        <v>0</v>
      </c>
      <c r="K10" s="33"/>
      <c r="L10" s="33"/>
      <c r="M10" s="33"/>
      <c r="N10" s="33">
        <f>$C$30*'E Balans VL '!Y14/100/3.6*1000000</f>
        <v>1792.1049215894152</v>
      </c>
      <c r="O10" s="33"/>
      <c r="P10" s="33"/>
      <c r="R10" s="32"/>
    </row>
    <row r="11" spans="1:18">
      <c r="A11" s="32" t="s">
        <v>54</v>
      </c>
      <c r="B11" s="37">
        <f t="shared" si="0"/>
        <v>2143.2498562999999</v>
      </c>
      <c r="C11" s="33"/>
      <c r="D11" s="37">
        <f>IF(ISERROR(TER_onderwijs_gas_kWh/1000),0,TER_onderwijs_gas_kWh/1000)*0.902</f>
        <v>6637.8636286622004</v>
      </c>
      <c r="E11" s="33">
        <f>$C$31*'E Balans VL '!I11/100/3.6*1000000</f>
        <v>3.7744426006614322</v>
      </c>
      <c r="F11" s="33">
        <f>$C$31*('E Balans VL '!L11+'E Balans VL '!N11)/100/3.6*1000000</f>
        <v>989.57724069571702</v>
      </c>
      <c r="G11" s="34"/>
      <c r="H11" s="33"/>
      <c r="I11" s="33"/>
      <c r="J11" s="33">
        <f>$C$31*('E Balans VL '!D11+'E Balans VL '!E11)/100/3.6*1000000</f>
        <v>0</v>
      </c>
      <c r="K11" s="33"/>
      <c r="L11" s="33"/>
      <c r="M11" s="33"/>
      <c r="N11" s="33">
        <f>$C$31*'E Balans VL '!Y11/100/3.6*1000000</f>
        <v>3.9929041208148845</v>
      </c>
      <c r="O11" s="33"/>
      <c r="P11" s="33"/>
      <c r="R11" s="32"/>
    </row>
    <row r="12" spans="1:18">
      <c r="A12" s="32" t="s">
        <v>259</v>
      </c>
      <c r="B12" s="37">
        <f t="shared" si="0"/>
        <v>11573.001736</v>
      </c>
      <c r="C12" s="33"/>
      <c r="D12" s="37">
        <f>IF(ISERROR(TER_rest_gas_kWh/1000),0,TER_rest_gas_kWh/1000)*0.902</f>
        <v>15870.639548434001</v>
      </c>
      <c r="E12" s="33">
        <f>$C$32*'E Balans VL '!I8/100/3.6*1000000</f>
        <v>203.76018940341723</v>
      </c>
      <c r="F12" s="33">
        <f>$C$32*('E Balans VL '!L8+'E Balans VL '!N8)/100/3.6*1000000</f>
        <v>2981.567763460871</v>
      </c>
      <c r="G12" s="34"/>
      <c r="H12" s="33"/>
      <c r="I12" s="33"/>
      <c r="J12" s="33">
        <f>$C$32*('E Balans VL '!D8+'E Balans VL '!E8)/100/3.6*1000000</f>
        <v>0</v>
      </c>
      <c r="K12" s="33"/>
      <c r="L12" s="33"/>
      <c r="M12" s="33"/>
      <c r="N12" s="33">
        <f>$C$32*'E Balans VL '!Y8/100/3.6*1000000</f>
        <v>1021.2243259297281</v>
      </c>
      <c r="O12" s="33"/>
      <c r="P12" s="33"/>
      <c r="R12" s="32"/>
    </row>
    <row r="13" spans="1:18">
      <c r="A13" s="16" t="s">
        <v>490</v>
      </c>
      <c r="B13" s="247">
        <f ca="1">'lokale energieproductie'!N39+'lokale energieproductie'!N32</f>
        <v>1000.125</v>
      </c>
      <c r="C13" s="247">
        <f ca="1">'lokale energieproductie'!O39+'lokale energieproductie'!O32</f>
        <v>1428.75</v>
      </c>
      <c r="D13" s="308">
        <f ca="1">('lokale energieproductie'!P32+'lokale energieproductie'!P39)*(-1)</f>
        <v>-2857.5</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86011.26915564001</v>
      </c>
      <c r="C16" s="21">
        <f t="shared" ca="1" si="1"/>
        <v>1428.75</v>
      </c>
      <c r="D16" s="21">
        <f t="shared" ca="1" si="1"/>
        <v>75704.849917902393</v>
      </c>
      <c r="E16" s="21">
        <f t="shared" si="1"/>
        <v>1413.9681773479203</v>
      </c>
      <c r="F16" s="21">
        <f t="shared" ca="1" si="1"/>
        <v>22233.433215475357</v>
      </c>
      <c r="G16" s="21">
        <f t="shared" si="1"/>
        <v>0</v>
      </c>
      <c r="H16" s="21">
        <f t="shared" si="1"/>
        <v>0</v>
      </c>
      <c r="I16" s="21">
        <f t="shared" si="1"/>
        <v>0</v>
      </c>
      <c r="J16" s="21">
        <f t="shared" si="1"/>
        <v>0</v>
      </c>
      <c r="K16" s="21">
        <f t="shared" si="1"/>
        <v>0</v>
      </c>
      <c r="L16" s="21">
        <f t="shared" ca="1" si="1"/>
        <v>0</v>
      </c>
      <c r="M16" s="21">
        <f t="shared" si="1"/>
        <v>0</v>
      </c>
      <c r="N16" s="21">
        <f t="shared" ca="1" si="1"/>
        <v>2893.4615991763458</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0.19953291758305541</v>
      </c>
      <c r="C18" s="25">
        <f ca="1">'EF ele_warmte'!B22</f>
        <v>3.9029786679127591E-2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17162.079479646316</v>
      </c>
      <c r="C20" s="23">
        <f t="shared" ref="C20:P20" ca="1" si="2">C16*C18</f>
        <v>55.763807717803545</v>
      </c>
      <c r="D20" s="23">
        <f t="shared" ca="1" si="2"/>
        <v>15292.379683416284</v>
      </c>
      <c r="E20" s="23">
        <f t="shared" si="2"/>
        <v>320.97077625797795</v>
      </c>
      <c r="F20" s="23">
        <f t="shared" ca="1" si="2"/>
        <v>5936.3266685319204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51860.817347999997</v>
      </c>
      <c r="C26" s="39">
        <f>IF(ISERROR(B26*3.6/1000000/'E Balans VL '!Z12*100),0,B26*3.6/1000000/'E Balans VL '!Z12*100)</f>
        <v>1.110898996694319</v>
      </c>
      <c r="D26" s="237" t="s">
        <v>659</v>
      </c>
      <c r="F26" s="6"/>
    </row>
    <row r="27" spans="1:18">
      <c r="A27" s="231" t="s">
        <v>52</v>
      </c>
      <c r="B27" s="33">
        <f>IF(ISERROR(TER_horeca_ele_kWh/1000),0,TER_horeca_ele_kWh/1000)</f>
        <v>4964.6685969</v>
      </c>
      <c r="C27" s="39">
        <f>IF(ISERROR(B27*3.6/1000000/'E Balans VL '!Z9*100),0,B27*3.6/1000000/'E Balans VL '!Z9*100)</f>
        <v>0.39839739788932738</v>
      </c>
      <c r="D27" s="237" t="s">
        <v>659</v>
      </c>
      <c r="F27" s="6"/>
    </row>
    <row r="28" spans="1:18">
      <c r="A28" s="171" t="s">
        <v>51</v>
      </c>
      <c r="B28" s="33">
        <f>IF(ISERROR(TER_handel_ele_kWh/1000),0,TER_handel_ele_kWh/1000)</f>
        <v>11396.44795</v>
      </c>
      <c r="C28" s="39">
        <f>IF(ISERROR(B28*3.6/1000000/'E Balans VL '!Z13*100),0,B28*3.6/1000000/'E Balans VL '!Z13*100)</f>
        <v>0.33612984710685329</v>
      </c>
      <c r="D28" s="237" t="s">
        <v>659</v>
      </c>
      <c r="F28" s="6"/>
    </row>
    <row r="29" spans="1:18">
      <c r="A29" s="231" t="s">
        <v>50</v>
      </c>
      <c r="B29" s="33">
        <f>IF(ISERROR(TER_gezond_ele_kWh/1000),0,TER_gezond_ele_kWh/1000)</f>
        <v>798.90805454000008</v>
      </c>
      <c r="C29" s="39">
        <f>IF(ISERROR(B29*3.6/1000000/'E Balans VL '!Z10*100),0,B29*3.6/1000000/'E Balans VL '!Z10*100)</f>
        <v>8.5301960696704093E-2</v>
      </c>
      <c r="D29" s="237" t="s">
        <v>659</v>
      </c>
      <c r="F29" s="6"/>
    </row>
    <row r="30" spans="1:18">
      <c r="A30" s="231" t="s">
        <v>49</v>
      </c>
      <c r="B30" s="33">
        <f>IF(ISERROR(TER_ander_ele_kWh/1000),0,TER_ander_ele_kWh/1000)</f>
        <v>2274.0506139000004</v>
      </c>
      <c r="C30" s="39">
        <f>IF(ISERROR(B30*3.6/1000000/'E Balans VL '!Z14*100),0,B30*3.6/1000000/'E Balans VL '!Z14*100)</f>
        <v>0.17176797270442792</v>
      </c>
      <c r="D30" s="237" t="s">
        <v>659</v>
      </c>
      <c r="F30" s="6"/>
    </row>
    <row r="31" spans="1:18">
      <c r="A31" s="231" t="s">
        <v>54</v>
      </c>
      <c r="B31" s="33">
        <f>IF(ISERROR(TER_onderwijs_ele_kWh/1000),0,TER_onderwijs_ele_kWh/1000)</f>
        <v>2143.2498562999999</v>
      </c>
      <c r="C31" s="39">
        <f>IF(ISERROR(B31*3.6/1000000/'E Balans VL '!Z11*100),0,B31*3.6/1000000/'E Balans VL '!Z11*100)</f>
        <v>0.4327936931944964</v>
      </c>
      <c r="D31" s="237" t="s">
        <v>659</v>
      </c>
    </row>
    <row r="32" spans="1:18">
      <c r="A32" s="231" t="s">
        <v>259</v>
      </c>
      <c r="B32" s="33">
        <f>IF(ISERROR(TER_rest_ele_kWh/1000),0,TER_rest_ele_kWh/1000)</f>
        <v>11573.001736</v>
      </c>
      <c r="C32" s="39">
        <f>IF(ISERROR(B32*3.6/1000000/'E Balans VL '!Z8*100),0,B32*3.6/1000000/'E Balans VL '!Z8*100)</f>
        <v>9.5956299680099749E-2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58711.429901523006</v>
      </c>
      <c r="C5" s="17">
        <f>IF(ISERROR('Eigen informatie GS &amp; warmtenet'!B59),0,'Eigen informatie GS &amp; warmtenet'!B59)</f>
        <v>0</v>
      </c>
      <c r="D5" s="30">
        <f>SUM(D6:D15)</f>
        <v>31266.452734197559</v>
      </c>
      <c r="E5" s="17">
        <f>SUM(E6:E15)</f>
        <v>8532.628036583088</v>
      </c>
      <c r="F5" s="17">
        <f>SUM(F6:F15)</f>
        <v>30111.907329658086</v>
      </c>
      <c r="G5" s="18"/>
      <c r="H5" s="17"/>
      <c r="I5" s="17"/>
      <c r="J5" s="17">
        <f>SUM(J6:J15)</f>
        <v>253.12489805225832</v>
      </c>
      <c r="K5" s="17"/>
      <c r="L5" s="17"/>
      <c r="M5" s="17"/>
      <c r="N5" s="17">
        <f>SUM(N6:N15)</f>
        <v>3990.0274264113759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644.83807014000001</v>
      </c>
      <c r="C8" s="33"/>
      <c r="D8" s="37">
        <f>IF( ISERROR(IND_metaal_Gas_kWH/1000),0,IND_metaal_Gas_kWH/1000)*0.902</f>
        <v>642.81553663316004</v>
      </c>
      <c r="E8" s="33">
        <f>C30*'E Balans VL '!I18/100/3.6*1000000</f>
        <v>23.203224531038007</v>
      </c>
      <c r="F8" s="33">
        <f>C30*'E Balans VL '!L18/100/3.6*1000000+C30*'E Balans VL '!N18/100/3.6*1000000</f>
        <v>281.57988182889824</v>
      </c>
      <c r="G8" s="34"/>
      <c r="H8" s="33"/>
      <c r="I8" s="33"/>
      <c r="J8" s="40">
        <f>C30*'E Balans VL '!D18/100/3.6*1000000+C30*'E Balans VL '!E18/100/3.6*1000000</f>
        <v>0</v>
      </c>
      <c r="K8" s="33"/>
      <c r="L8" s="33"/>
      <c r="M8" s="33"/>
      <c r="N8" s="33">
        <f>C30*'E Balans VL '!Y18/100/3.6*1000000</f>
        <v>32.318845861515172</v>
      </c>
      <c r="O8" s="33"/>
      <c r="P8" s="33"/>
      <c r="R8" s="32"/>
    </row>
    <row r="9" spans="1:18">
      <c r="A9" s="6" t="s">
        <v>32</v>
      </c>
      <c r="B9" s="37">
        <f t="shared" si="0"/>
        <v>26715.414839000001</v>
      </c>
      <c r="C9" s="33"/>
      <c r="D9" s="37">
        <f>IF( ISERROR(IND_andere_gas_kWh/1000),0,IND_andere_gas_kWh/1000)*0.902</f>
        <v>1584.9694099998001</v>
      </c>
      <c r="E9" s="33">
        <f>C31*'E Balans VL '!I19/100/3.6*1000000</f>
        <v>6817.1694137219638</v>
      </c>
      <c r="F9" s="33">
        <f>C31*'E Balans VL '!L19/100/3.6*1000000+C31*'E Balans VL '!N19/100/3.6*1000000</f>
        <v>22999.964167735034</v>
      </c>
      <c r="G9" s="34"/>
      <c r="H9" s="33"/>
      <c r="I9" s="33"/>
      <c r="J9" s="40">
        <f>C31*'E Balans VL '!D19/100/3.6*1000000+C31*'E Balans VL '!E19/100/3.6*1000000</f>
        <v>0</v>
      </c>
      <c r="K9" s="33"/>
      <c r="L9" s="33"/>
      <c r="M9" s="33"/>
      <c r="N9" s="33">
        <f>C31*'E Balans VL '!Y19/100/3.6*1000000</f>
        <v>2107.5336145918127</v>
      </c>
      <c r="O9" s="33"/>
      <c r="P9" s="33"/>
      <c r="R9" s="32"/>
    </row>
    <row r="10" spans="1:18">
      <c r="A10" s="6" t="s">
        <v>40</v>
      </c>
      <c r="B10" s="37">
        <f t="shared" si="0"/>
        <v>274.06540876000003</v>
      </c>
      <c r="C10" s="33"/>
      <c r="D10" s="37">
        <f>IF( ISERROR(IND_voed_gas_kWh/1000),0,IND_voed_gas_kWh/1000)*0.902</f>
        <v>100.4124570339</v>
      </c>
      <c r="E10" s="33">
        <f>C32*'E Balans VL '!I20/100/3.6*1000000</f>
        <v>6.9671190133244325</v>
      </c>
      <c r="F10" s="33">
        <f>C32*'E Balans VL '!L20/100/3.6*1000000+C32*'E Balans VL '!N20/100/3.6*1000000</f>
        <v>62.016887925804326</v>
      </c>
      <c r="G10" s="34"/>
      <c r="H10" s="33"/>
      <c r="I10" s="33"/>
      <c r="J10" s="40">
        <f>C32*'E Balans VL '!D20/100/3.6*1000000+C32*'E Balans VL '!E20/100/3.6*1000000</f>
        <v>0</v>
      </c>
      <c r="K10" s="33"/>
      <c r="L10" s="33"/>
      <c r="M10" s="33"/>
      <c r="N10" s="33">
        <f>C32*'E Balans VL '!Y20/100/3.6*1000000</f>
        <v>102.78195712010772</v>
      </c>
      <c r="O10" s="33"/>
      <c r="P10" s="33"/>
      <c r="R10" s="32"/>
    </row>
    <row r="11" spans="1:18">
      <c r="A11" s="6" t="s">
        <v>39</v>
      </c>
      <c r="B11" s="37">
        <f t="shared" si="0"/>
        <v>6.071099051</v>
      </c>
      <c r="C11" s="33"/>
      <c r="D11" s="37">
        <f>IF( ISERROR(IND_textiel_gas_kWh/1000),0,IND_textiel_gas_kWh/1000)*0.902</f>
        <v>0</v>
      </c>
      <c r="E11" s="33">
        <f>C33*'E Balans VL '!I21/100/3.6*1000000</f>
        <v>1.6666799552255553E-2</v>
      </c>
      <c r="F11" s="33">
        <f>C33*'E Balans VL '!L21/100/3.6*1000000+C33*'E Balans VL '!N21/100/3.6*1000000</f>
        <v>0.32186437015407249</v>
      </c>
      <c r="G11" s="34"/>
      <c r="H11" s="33"/>
      <c r="I11" s="33"/>
      <c r="J11" s="40">
        <f>C33*'E Balans VL '!D21/100/3.6*1000000+C33*'E Balans VL '!E21/100/3.6*1000000</f>
        <v>0</v>
      </c>
      <c r="K11" s="33"/>
      <c r="L11" s="33"/>
      <c r="M11" s="33"/>
      <c r="N11" s="33">
        <f>C33*'E Balans VL '!Y21/100/3.6*1000000</f>
        <v>1.2201904431216196E-2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20.877580571999999</v>
      </c>
      <c r="C13" s="33"/>
      <c r="D13" s="37">
        <f>IF( ISERROR(IND_papier_gas_kWh/1000),0,IND_papier_gas_kWh/1000)*0.902</f>
        <v>33.976458292700002</v>
      </c>
      <c r="E13" s="33">
        <f>C35*'E Balans VL '!I23/100/3.6*1000000</f>
        <v>8.9537869413841675E-2</v>
      </c>
      <c r="F13" s="33">
        <f>C35*'E Balans VL '!L23/100/3.6*1000000+C35*'E Balans VL '!N23/100/3.6*1000000</f>
        <v>0.52471839965929212</v>
      </c>
      <c r="G13" s="34"/>
      <c r="H13" s="33"/>
      <c r="I13" s="33"/>
      <c r="J13" s="40">
        <f>C35*'E Balans VL '!D23/100/3.6*1000000+C35*'E Balans VL '!E23/100/3.6*1000000</f>
        <v>1.397639510476393</v>
      </c>
      <c r="K13" s="33"/>
      <c r="L13" s="33"/>
      <c r="M13" s="33"/>
      <c r="N13" s="33">
        <f>C35*'E Balans VL '!Y23/100/3.6*1000000</f>
        <v>5.0912830192319367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31050.162904000001</v>
      </c>
      <c r="C15" s="33"/>
      <c r="D15" s="37">
        <f>IF( ISERROR(IND_rest_gas_kWh/1000),0,IND_rest_gas_kWh/1000)*0.902</f>
        <v>28904.278872237999</v>
      </c>
      <c r="E15" s="33">
        <f>C37*'E Balans VL '!I15/100/3.6*1000000</f>
        <v>1685.1820746477945</v>
      </c>
      <c r="F15" s="33">
        <f>C37*'E Balans VL '!L15/100/3.6*1000000+C37*'E Balans VL '!N15/100/3.6*1000000</f>
        <v>6767.4998093985378</v>
      </c>
      <c r="G15" s="34"/>
      <c r="H15" s="33"/>
      <c r="I15" s="33"/>
      <c r="J15" s="40">
        <f>C37*'E Balans VL '!D15/100/3.6*1000000+C37*'E Balans VL '!E15/100/3.6*1000000</f>
        <v>251.72725854178194</v>
      </c>
      <c r="K15" s="33"/>
      <c r="L15" s="33"/>
      <c r="M15" s="33"/>
      <c r="N15" s="33">
        <f>C37*'E Balans VL '!Y15/100/3.6*1000000</f>
        <v>1742.2895239142774</v>
      </c>
      <c r="O15" s="33"/>
      <c r="P15" s="33"/>
      <c r="R15" s="32"/>
    </row>
    <row r="16" spans="1:18">
      <c r="A16" s="16" t="s">
        <v>490</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58711.429901523006</v>
      </c>
      <c r="C18" s="21">
        <f>C5+C16</f>
        <v>0</v>
      </c>
      <c r="D18" s="21">
        <f>MAX((D5+D16),0)</f>
        <v>31266.452734197559</v>
      </c>
      <c r="E18" s="21">
        <f>MAX((E5+E16),0)</f>
        <v>8532.628036583088</v>
      </c>
      <c r="F18" s="21">
        <f>MAX((F5+F16),0)</f>
        <v>30111.907329658086</v>
      </c>
      <c r="G18" s="21"/>
      <c r="H18" s="21"/>
      <c r="I18" s="21"/>
      <c r="J18" s="21">
        <f>MAX((J5+J16),0)</f>
        <v>253.12489805225832</v>
      </c>
      <c r="K18" s="21"/>
      <c r="L18" s="21">
        <f>MAX((L5+L16),0)</f>
        <v>0</v>
      </c>
      <c r="M18" s="21"/>
      <c r="N18" s="21">
        <f>MAX((N5+N16),0)</f>
        <v>3990.0274264113759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0.19953291758305541</v>
      </c>
      <c r="C20" s="25">
        <f ca="1">'EF ele_warmte'!B22</f>
        <v>3.9029786679127591E-2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11714.862903723924</v>
      </c>
      <c r="C22" s="23">
        <f ca="1">C18*C20</f>
        <v>0</v>
      </c>
      <c r="D22" s="23">
        <f>D18*D20</f>
        <v>6315.8234523079072</v>
      </c>
      <c r="E22" s="23">
        <f>E18*E20</f>
        <v>1936.9065643043612</v>
      </c>
      <c r="F22" s="23">
        <f>F18*F20</f>
        <v>8039.8792570187097</v>
      </c>
      <c r="G22" s="23"/>
      <c r="H22" s="23"/>
      <c r="I22" s="23"/>
      <c r="J22" s="23">
        <f>J18*J20</f>
        <v>89.606213910499434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644.83807014000001</v>
      </c>
      <c r="C30" s="39">
        <f>IF(ISERROR(B30*3.6/1000000/'E Balans VL '!Z18*100),0,B30*3.6/1000000/'E Balans VL '!Z18*100)</f>
        <v>0.13662736209880663</v>
      </c>
      <c r="D30" s="237" t="s">
        <v>659</v>
      </c>
    </row>
    <row r="31" spans="1:18">
      <c r="A31" s="6" t="s">
        <v>32</v>
      </c>
      <c r="B31" s="37">
        <f>IF( ISERROR(IND_ander_ele_kWh/1000),0,IND_ander_ele_kWh/1000)</f>
        <v>26715.414839000001</v>
      </c>
      <c r="C31" s="39">
        <f>IF(ISERROR(B31*3.6/1000000/'E Balans VL '!Z19*100),0,B31*3.6/1000000/'E Balans VL '!Z19*100)</f>
        <v>1.1245124723345841</v>
      </c>
      <c r="D31" s="237" t="s">
        <v>659</v>
      </c>
    </row>
    <row r="32" spans="1:18">
      <c r="A32" s="171" t="s">
        <v>40</v>
      </c>
      <c r="B32" s="37">
        <f>IF( ISERROR(IND_voed_ele_kWh/1000),0,IND_voed_ele_kWh/1000)</f>
        <v>274.06540876000003</v>
      </c>
      <c r="C32" s="39">
        <f>IF(ISERROR(B32*3.6/1000000/'E Balans VL '!Z20*100),0,B32*3.6/1000000/'E Balans VL '!Z20*100)</f>
        <v>4.5785727370192882E-2</v>
      </c>
      <c r="D32" s="237" t="s">
        <v>659</v>
      </c>
    </row>
    <row r="33" spans="1:5">
      <c r="A33" s="171" t="s">
        <v>39</v>
      </c>
      <c r="B33" s="37">
        <f>IF( ISERROR(IND_textiel_ele_kWh/1000),0,IND_textiel_ele_kWh/1000)</f>
        <v>6.071099051</v>
      </c>
      <c r="C33" s="39">
        <f>IF(ISERROR(B33*3.6/1000000/'E Balans VL '!Z21*100),0,B33*3.6/1000000/'E Balans VL '!Z21*100)</f>
        <v>3.5444893046379655E-4</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20.877580571999999</v>
      </c>
      <c r="C35" s="39">
        <f>IF(ISERROR(B35*3.6/1000000/'E Balans VL '!Z22*100),0,B35*3.6/1000000/'E Balans VL '!Z22*100)</f>
        <v>2.6463459299604876E-3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31050.162904000001</v>
      </c>
      <c r="C37" s="39">
        <f>IF(ISERROR(B37*3.6/1000000/'E Balans VL '!Z15*100),0,B37*3.6/1000000/'E Balans VL '!Z15*100)</f>
        <v>0.25067998829813554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689.43796170999997</v>
      </c>
      <c r="C5" s="17">
        <f>'Eigen informatie GS &amp; warmtenet'!B60</f>
        <v>0</v>
      </c>
      <c r="D5" s="30">
        <f>IF(ISERROR(SUM(LB_lb_gas_kWh,LB_rest_gas_kWh)/1000),0,SUM(LB_lb_gas_kWh,LB_rest_gas_kWh)/1000)*0.902</f>
        <v>2738.5049926434203</v>
      </c>
      <c r="E5" s="17">
        <f>B17*'E Balans VL '!I25/3.6*1000000/100</f>
        <v>17.777957896775884</v>
      </c>
      <c r="F5" s="17">
        <f>B17*('E Balans VL '!L25/3.6*1000000+'E Balans VL '!N25/3.6*1000000)/100</f>
        <v>2520.0270471318204</v>
      </c>
      <c r="G5" s="18"/>
      <c r="H5" s="17"/>
      <c r="I5" s="17"/>
      <c r="J5" s="17">
        <f>('E Balans VL '!D25+'E Balans VL '!E25)/3.6*1000000*landbouw!B17/100</f>
        <v>99.253704368368687</v>
      </c>
      <c r="K5" s="17"/>
      <c r="L5" s="17">
        <f>L6*(-1)</f>
        <v>0</v>
      </c>
      <c r="M5" s="17"/>
      <c r="N5" s="17">
        <f>N6*(-1)</f>
        <v>14541.428571428572</v>
      </c>
      <c r="O5" s="17"/>
      <c r="P5" s="17"/>
      <c r="R5" s="32"/>
    </row>
    <row r="6" spans="1:18">
      <c r="A6" s="16" t="s">
        <v>490</v>
      </c>
      <c r="B6" s="17" t="s">
        <v>210</v>
      </c>
      <c r="C6" s="17">
        <f>'lokale energieproductie'!O40+'lokale energieproductie'!O33</f>
        <v>7270.7142857142862</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-14541.428571428572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689.43796170999997</v>
      </c>
      <c r="C8" s="21">
        <f>C5+C6</f>
        <v>7270.7142857142862</v>
      </c>
      <c r="D8" s="21">
        <f>MAX((D5+D6),0)</f>
        <v>2738.5049926434203</v>
      </c>
      <c r="E8" s="21">
        <f>MAX((E5+E6),0)</f>
        <v>17.777957896775884</v>
      </c>
      <c r="F8" s="21">
        <f>MAX((F5+F6),0)</f>
        <v>2520.0270471318204</v>
      </c>
      <c r="G8" s="21"/>
      <c r="H8" s="21"/>
      <c r="I8" s="21"/>
      <c r="J8" s="21">
        <f>MAX((J5+J6),0)</f>
        <v>99.253704368368687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0.19953291758305541</v>
      </c>
      <c r="C10" s="31">
        <f ca="1">'EF ele_warmte'!B22</f>
        <v>3.9029786679127591E-2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137.56556799251115</v>
      </c>
      <c r="C12" s="23">
        <f ca="1">C8*C10</f>
        <v>283.77442757631411</v>
      </c>
      <c r="D12" s="23">
        <f>D8*D10</f>
        <v>553.17800851397089</v>
      </c>
      <c r="E12" s="23">
        <f>E8*E10</f>
        <v>4.0355964425681261</v>
      </c>
      <c r="F12" s="23">
        <f>F8*F10</f>
        <v>672.84722158419606</v>
      </c>
      <c r="G12" s="23"/>
      <c r="H12" s="23"/>
      <c r="I12" s="23"/>
      <c r="J12" s="23">
        <f>J8*J10</f>
        <v>35.135811346402512</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9.7215319335769046E-2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101.47337255665585</v>
      </c>
      <c r="C26" s="247">
        <f>B26*'GWP N2O_CH4'!B5</f>
        <v>2130.940823689773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25.336883821623204</v>
      </c>
      <c r="C27" s="247">
        <f>B27*'GWP N2O_CH4'!B5</f>
        <v>532.07456025408726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1.2649992723250489</v>
      </c>
      <c r="C28" s="247">
        <f>B28*'GWP N2O_CH4'!B4</f>
        <v>392.1497744207652</v>
      </c>
      <c r="D28" s="50"/>
    </row>
    <row r="29" spans="1:4">
      <c r="A29" s="41" t="s">
        <v>276</v>
      </c>
      <c r="B29" s="247">
        <f>B34*'ha_N2O bodem landbouw'!B4</f>
        <v>10.857079452759825</v>
      </c>
      <c r="C29" s="247">
        <f>B29*'GWP N2O_CH4'!B4</f>
        <v>3365.6946303555455</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2.4434328677309007E-3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4.6420796709047656E-4</v>
      </c>
      <c r="C5" s="437" t="s">
        <v>210</v>
      </c>
      <c r="D5" s="422">
        <f>SUM(D6:D11)</f>
        <v>9.8432219508002433E-4</v>
      </c>
      <c r="E5" s="422">
        <f>SUM(E6:E11)</f>
        <v>4.7006791040313583E-3</v>
      </c>
      <c r="F5" s="435" t="s">
        <v>210</v>
      </c>
      <c r="G5" s="422">
        <f>SUM(G6:G11)</f>
        <v>1.6444887007116202</v>
      </c>
      <c r="H5" s="422">
        <f>SUM(H6:H11)</f>
        <v>0.33922754855554266</v>
      </c>
      <c r="I5" s="437" t="s">
        <v>210</v>
      </c>
      <c r="J5" s="437" t="s">
        <v>210</v>
      </c>
      <c r="K5" s="437" t="s">
        <v>210</v>
      </c>
      <c r="L5" s="437" t="s">
        <v>210</v>
      </c>
      <c r="M5" s="422">
        <f>SUM(M6:M11)</f>
        <v>6.1902210092583974E-2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1.8174416456120845E-4</v>
      </c>
      <c r="C6" s="423"/>
      <c r="D6" s="865">
        <f>vkm_GW_PW*SUMIFS(TableVerdeelsleutelVkm[CNG],TableVerdeelsleutelVkm[Voertuigtype],"Lichte voertuigen")*SUMIFS(TableECFTransport[EnergieConsumptieFactor (PJ per km)],TableECFTransport[Index],CONCATENATE($A6,"_CNG_CNG"))</f>
        <v>3.2762596563752226E-4</v>
      </c>
      <c r="E6" s="865">
        <f>vkm_GW_PW*SUMIFS(TableVerdeelsleutelVkm[LPG],TableVerdeelsleutelVkm[Voertuigtype],"Lichte voertuigen")*SUMIFS(TableECFTransport[EnergieConsumptieFactor (PJ per km)],TableECFTransport[Index],CONCATENATE($A6,"_LPG_LPG"))</f>
        <v>1.480026147732909E-3</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0.40434112342522688</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0.11249195259835716</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1.6092005985266545E-2</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0.16599634012818357</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2.9953732827984255E-6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5.2222541656349345E-3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1.1556479951724496E-4</v>
      </c>
      <c r="C8" s="423"/>
      <c r="D8" s="425">
        <f>vkm_NGW_PW*SUMIFS(TableVerdeelsleutelVkm[CNG],TableVerdeelsleutelVkm[Voertuigtype],"Lichte voertuigen")*SUMIFS(TableECFTransport[EnergieConsumptieFactor (PJ per km)],TableECFTransport[Index],CONCATENATE($A8,"_CNG_CNG"))</f>
        <v>3.5409420867642944E-4</v>
      </c>
      <c r="E8" s="425">
        <f>vkm_NGW_PW*SUMIFS(TableVerdeelsleutelVkm[LPG],TableVerdeelsleutelVkm[Voertuigtype],"Lichte voertuigen")*SUMIFS(TableECFTransport[EnergieConsumptieFactor (PJ per km)],TableECFTransport[Index],CONCATENATE($A8,"_LPG_LPG"))</f>
        <v>1.5183572448303456E-3</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0.38949306254366106</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0.11814756636037001</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1.5794404322552292E-2</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7.9771339876187841E-2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1.7769538849822627E-6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2.5096209396791138E-3</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1.6689900301202317E-4</v>
      </c>
      <c r="C10" s="423"/>
      <c r="D10" s="425">
        <f>vkm_SW_PW*SUMIFS(TableVerdeelsleutelVkm[CNG],TableVerdeelsleutelVkm[Voertuigtype],"Lichte voertuigen")*SUMIFS(TableECFTransport[EnergieConsumptieFactor (PJ per km)],TableECFTransport[Index],CONCATENATE($A10,"_CNG_CNG"))</f>
        <v>3.0260202076607269E-4</v>
      </c>
      <c r="E10" s="425">
        <f>vkm_SW_PW*SUMIFS(TableVerdeelsleutelVkm[LPG],TableVerdeelsleutelVkm[Voertuigtype],"Lichte voertuigen")*SUMIFS(TableECFTransport[EnergieConsumptieFactor (PJ per km)],TableECFTransport[Index],CONCATENATE($A10,"_LPG_LPG"))</f>
        <v>1.7022957114681036E-3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0.41738673801101484</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0.10857964310581847</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1.6385154209417753E-2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0.18750009672734605</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3.614163829267133E-6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5.8987704700333311E-3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128.94665752513237</v>
      </c>
      <c r="C14" s="21"/>
      <c r="D14" s="21">
        <f t="shared" ref="D14:M14" si="0">((D5)*10^9/3600)+D12</f>
        <v>273.42283196667341</v>
      </c>
      <c r="E14" s="21">
        <f t="shared" si="0"/>
        <v>1305.7441955642662</v>
      </c>
      <c r="F14" s="21"/>
      <c r="G14" s="21">
        <f t="shared" si="0"/>
        <v>456802.41686433897</v>
      </c>
      <c r="H14" s="21">
        <f t="shared" si="0"/>
        <v>94229.874598761846</v>
      </c>
      <c r="I14" s="21"/>
      <c r="J14" s="21"/>
      <c r="K14" s="21"/>
      <c r="L14" s="21"/>
      <c r="M14" s="21">
        <f t="shared" si="0"/>
        <v>17195.058359051105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0.19953291758305541</v>
      </c>
      <c r="C16" s="56">
        <f ca="1">'EF ele_warmte'!B22</f>
        <v>3.9029786679127591E-2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25.729102788572707</v>
      </c>
      <c r="C18" s="23"/>
      <c r="D18" s="23">
        <f t="shared" ref="D18:M18" si="1">D14*D16</f>
        <v>55.231412057268031</v>
      </c>
      <c r="E18" s="23">
        <f t="shared" si="1"/>
        <v>296.40393239308844</v>
      </c>
      <c r="F18" s="23"/>
      <c r="G18" s="23">
        <f t="shared" si="1"/>
        <v>121966.24530277851</v>
      </c>
      <c r="H18" s="23">
        <f t="shared" si="1"/>
        <v>23463.238775091701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1.3900359054581354E-2</v>
      </c>
      <c r="H50" s="319">
        <f t="shared" si="2"/>
        <v>0</v>
      </c>
      <c r="I50" s="319">
        <f t="shared" si="2"/>
        <v>0</v>
      </c>
      <c r="J50" s="319">
        <f t="shared" si="2"/>
        <v>0</v>
      </c>
      <c r="K50" s="319">
        <f t="shared" si="2"/>
        <v>0</v>
      </c>
      <c r="L50" s="319">
        <f t="shared" si="2"/>
        <v>0</v>
      </c>
      <c r="M50" s="319">
        <f t="shared" si="2"/>
        <v>4.3061376065894397E-4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1.3900359054581354E-2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4.3061376065894397E-4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3861.2108484948203</v>
      </c>
      <c r="H54" s="21">
        <f t="shared" si="3"/>
        <v>0</v>
      </c>
      <c r="I54" s="21">
        <f t="shared" si="3"/>
        <v>0</v>
      </c>
      <c r="J54" s="21">
        <f t="shared" si="3"/>
        <v>0</v>
      </c>
      <c r="K54" s="21">
        <f t="shared" si="3"/>
        <v>0</v>
      </c>
      <c r="L54" s="21">
        <f t="shared" si="3"/>
        <v>0</v>
      </c>
      <c r="M54" s="21">
        <f t="shared" si="3"/>
        <v>119.61493351637333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0.19953291758305541</v>
      </c>
      <c r="C56" s="56">
        <f ca="1">'EF ele_warmte'!B22</f>
        <v>3.9029786679127591E-2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1030.9432965481171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88903.370155640005</v>
      </c>
      <c r="D10" s="978">
        <f ca="1">tertiair!C16</f>
        <v>1428.75</v>
      </c>
      <c r="E10" s="978">
        <f ca="1">tertiair!D16</f>
        <v>75704.849917902393</v>
      </c>
      <c r="F10" s="978">
        <f>tertiair!E16</f>
        <v>1413.9681773479203</v>
      </c>
      <c r="G10" s="978">
        <f ca="1">tertiair!F16</f>
        <v>22233.433215475357</v>
      </c>
      <c r="H10" s="978">
        <f>tertiair!G16</f>
        <v>0</v>
      </c>
      <c r="I10" s="978">
        <f>tertiair!H16</f>
        <v>0</v>
      </c>
      <c r="J10" s="978">
        <f>tertiair!I16</f>
        <v>0</v>
      </c>
      <c r="K10" s="978">
        <f>tertiair!J16</f>
        <v>0</v>
      </c>
      <c r="L10" s="978">
        <f>tertiair!K16</f>
        <v>0</v>
      </c>
      <c r="M10" s="978">
        <f ca="1">tertiair!L16</f>
        <v>0</v>
      </c>
      <c r="N10" s="978">
        <f>tertiair!M16</f>
        <v>0</v>
      </c>
      <c r="O10" s="978">
        <f ca="1">tertiair!N16</f>
        <v>2893.4615991763458</v>
      </c>
      <c r="P10" s="978">
        <f>tertiair!O16</f>
        <v>0</v>
      </c>
      <c r="Q10" s="979">
        <f>tertiair!P16</f>
        <v>57.2</v>
      </c>
      <c r="R10" s="674">
        <f ca="1">SUM(C10:Q10)</f>
        <v>192635.033065542</v>
      </c>
      <c r="S10" s="67"/>
    </row>
    <row r="11" spans="1:19" s="447" customFormat="1">
      <c r="A11" s="783" t="s">
        <v>224</v>
      </c>
      <c r="B11" s="788"/>
      <c r="C11" s="978">
        <f>huishoudens!B8</f>
        <v>61388.895665263466</v>
      </c>
      <c r="D11" s="978">
        <f>huishoudens!C8</f>
        <v>0</v>
      </c>
      <c r="E11" s="978">
        <f>huishoudens!D8</f>
        <v>164863.6656601</v>
      </c>
      <c r="F11" s="978">
        <f>huishoudens!E8</f>
        <v>16741.093083337633</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17331.176267850889</v>
      </c>
      <c r="P11" s="978">
        <f>huishoudens!O8</f>
        <v>211.05</v>
      </c>
      <c r="Q11" s="979">
        <f>huishoudens!P8</f>
        <v>629.20000000000005</v>
      </c>
      <c r="R11" s="674">
        <f>SUM(C11:Q11)</f>
        <v>261165.080676552</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58711.429901523006</v>
      </c>
      <c r="D13" s="978">
        <f>industrie!C18</f>
        <v>0</v>
      </c>
      <c r="E13" s="978">
        <f>industrie!D18</f>
        <v>31266.452734197559</v>
      </c>
      <c r="F13" s="978">
        <f>industrie!E18</f>
        <v>8532.628036583088</v>
      </c>
      <c r="G13" s="978">
        <f>industrie!F18</f>
        <v>30111.907329658086</v>
      </c>
      <c r="H13" s="978">
        <f>industrie!G18</f>
        <v>0</v>
      </c>
      <c r="I13" s="978">
        <f>industrie!H18</f>
        <v>0</v>
      </c>
      <c r="J13" s="978">
        <f>industrie!I18</f>
        <v>0</v>
      </c>
      <c r="K13" s="978">
        <f>industrie!J18</f>
        <v>253.12489805225832</v>
      </c>
      <c r="L13" s="978">
        <f>industrie!K18</f>
        <v>0</v>
      </c>
      <c r="M13" s="978">
        <f>industrie!L18</f>
        <v>0</v>
      </c>
      <c r="N13" s="978">
        <f>industrie!M18</f>
        <v>0</v>
      </c>
      <c r="O13" s="978">
        <f>industrie!N18</f>
        <v>3990.0274264113759</v>
      </c>
      <c r="P13" s="978">
        <f>industrie!O18</f>
        <v>0</v>
      </c>
      <c r="Q13" s="979">
        <f>industrie!P18</f>
        <v>0</v>
      </c>
      <c r="R13" s="674">
        <f>SUM(C13:Q13)</f>
        <v>132865.5703264254</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209003.69572242646</v>
      </c>
      <c r="D16" s="706">
        <f t="shared" ref="D16:R16" ca="1" si="0">SUM(D9:D15)</f>
        <v>1428.75</v>
      </c>
      <c r="E16" s="706">
        <f t="shared" ca="1" si="0"/>
        <v>271834.96831219993</v>
      </c>
      <c r="F16" s="706">
        <f t="shared" si="0"/>
        <v>26687.68929726864</v>
      </c>
      <c r="G16" s="706">
        <f t="shared" ca="1" si="0"/>
        <v>52345.34054513344</v>
      </c>
      <c r="H16" s="706">
        <f t="shared" si="0"/>
        <v>0</v>
      </c>
      <c r="I16" s="706">
        <f t="shared" si="0"/>
        <v>0</v>
      </c>
      <c r="J16" s="706">
        <f t="shared" si="0"/>
        <v>0</v>
      </c>
      <c r="K16" s="706">
        <f t="shared" si="0"/>
        <v>253.12489805225832</v>
      </c>
      <c r="L16" s="706">
        <f t="shared" si="0"/>
        <v>0</v>
      </c>
      <c r="M16" s="706">
        <f t="shared" ca="1" si="0"/>
        <v>0</v>
      </c>
      <c r="N16" s="706">
        <f t="shared" si="0"/>
        <v>0</v>
      </c>
      <c r="O16" s="706">
        <f t="shared" ca="1" si="0"/>
        <v>24214.665293438611</v>
      </c>
      <c r="P16" s="706">
        <f t="shared" si="0"/>
        <v>211.05</v>
      </c>
      <c r="Q16" s="706">
        <f t="shared" si="0"/>
        <v>686.40000000000009</v>
      </c>
      <c r="R16" s="706">
        <f t="shared" ca="1" si="0"/>
        <v>586665.68406851939</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3861.2108484948203</v>
      </c>
      <c r="I19" s="978">
        <f>transport!H54</f>
        <v>0</v>
      </c>
      <c r="J19" s="978">
        <f>transport!I54</f>
        <v>0</v>
      </c>
      <c r="K19" s="978">
        <f>transport!J54</f>
        <v>0</v>
      </c>
      <c r="L19" s="978">
        <f>transport!K54</f>
        <v>0</v>
      </c>
      <c r="M19" s="978">
        <f>transport!L54</f>
        <v>0</v>
      </c>
      <c r="N19" s="978">
        <f>transport!M54</f>
        <v>119.61493351637333</v>
      </c>
      <c r="O19" s="978">
        <f>transport!N54</f>
        <v>0</v>
      </c>
      <c r="P19" s="978">
        <f>transport!O54</f>
        <v>0</v>
      </c>
      <c r="Q19" s="979">
        <f>transport!P54</f>
        <v>0</v>
      </c>
      <c r="R19" s="674">
        <f>SUM(C19:Q19)</f>
        <v>3980.8257820111935</v>
      </c>
      <c r="S19" s="67"/>
    </row>
    <row r="20" spans="1:19" s="447" customFormat="1">
      <c r="A20" s="783" t="s">
        <v>306</v>
      </c>
      <c r="B20" s="788"/>
      <c r="C20" s="978">
        <f>transport!B14</f>
        <v>128.94665752513237</v>
      </c>
      <c r="D20" s="978">
        <f>transport!C14</f>
        <v>0</v>
      </c>
      <c r="E20" s="978">
        <f>transport!D14</f>
        <v>273.42283196667341</v>
      </c>
      <c r="F20" s="978">
        <f>transport!E14</f>
        <v>1305.7441955642662</v>
      </c>
      <c r="G20" s="978">
        <f>transport!F14</f>
        <v>0</v>
      </c>
      <c r="H20" s="978">
        <f>transport!G14</f>
        <v>456802.41686433897</v>
      </c>
      <c r="I20" s="978">
        <f>transport!H14</f>
        <v>94229.874598761846</v>
      </c>
      <c r="J20" s="978">
        <f>transport!I14</f>
        <v>0</v>
      </c>
      <c r="K20" s="978">
        <f>transport!J14</f>
        <v>0</v>
      </c>
      <c r="L20" s="978">
        <f>transport!K14</f>
        <v>0</v>
      </c>
      <c r="M20" s="978">
        <f>transport!L14</f>
        <v>0</v>
      </c>
      <c r="N20" s="978">
        <f>transport!M14</f>
        <v>17195.058359051105</v>
      </c>
      <c r="O20" s="978">
        <f>transport!N14</f>
        <v>0</v>
      </c>
      <c r="P20" s="978">
        <f>transport!O14</f>
        <v>0</v>
      </c>
      <c r="Q20" s="979">
        <f>transport!P14</f>
        <v>0</v>
      </c>
      <c r="R20" s="674">
        <f>SUM(C20:Q20)</f>
        <v>569935.46350720804</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128.94665752513237</v>
      </c>
      <c r="D22" s="786">
        <f t="shared" ref="D22:R22" si="1">SUM(D18:D21)</f>
        <v>0</v>
      </c>
      <c r="E22" s="786">
        <f t="shared" si="1"/>
        <v>273.42283196667341</v>
      </c>
      <c r="F22" s="786">
        <f t="shared" si="1"/>
        <v>1305.7441955642662</v>
      </c>
      <c r="G22" s="786">
        <f t="shared" si="1"/>
        <v>0</v>
      </c>
      <c r="H22" s="786">
        <f t="shared" si="1"/>
        <v>460663.62771283381</v>
      </c>
      <c r="I22" s="786">
        <f t="shared" si="1"/>
        <v>94229.874598761846</v>
      </c>
      <c r="J22" s="786">
        <f t="shared" si="1"/>
        <v>0</v>
      </c>
      <c r="K22" s="786">
        <f t="shared" si="1"/>
        <v>0</v>
      </c>
      <c r="L22" s="786">
        <f t="shared" si="1"/>
        <v>0</v>
      </c>
      <c r="M22" s="786">
        <f t="shared" si="1"/>
        <v>0</v>
      </c>
      <c r="N22" s="786">
        <f t="shared" si="1"/>
        <v>17314.673292567477</v>
      </c>
      <c r="O22" s="786">
        <f t="shared" si="1"/>
        <v>0</v>
      </c>
      <c r="P22" s="786">
        <f t="shared" si="1"/>
        <v>0</v>
      </c>
      <c r="Q22" s="786">
        <f t="shared" si="1"/>
        <v>0</v>
      </c>
      <c r="R22" s="786">
        <f t="shared" si="1"/>
        <v>573916.28928921919</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689.43796170999997</v>
      </c>
      <c r="D24" s="978">
        <f>+landbouw!C8</f>
        <v>7270.7142857142862</v>
      </c>
      <c r="E24" s="978">
        <f>+landbouw!D8</f>
        <v>2738.5049926434203</v>
      </c>
      <c r="F24" s="978">
        <f>+landbouw!E8</f>
        <v>17.777957896775884</v>
      </c>
      <c r="G24" s="978">
        <f>+landbouw!F8</f>
        <v>2520.0270471318204</v>
      </c>
      <c r="H24" s="978">
        <f>+landbouw!G8</f>
        <v>0</v>
      </c>
      <c r="I24" s="978">
        <f>+landbouw!H8</f>
        <v>0</v>
      </c>
      <c r="J24" s="978">
        <f>+landbouw!I8</f>
        <v>0</v>
      </c>
      <c r="K24" s="978">
        <f>+landbouw!J8</f>
        <v>99.253704368368687</v>
      </c>
      <c r="L24" s="978">
        <f>+landbouw!K8</f>
        <v>0</v>
      </c>
      <c r="M24" s="978">
        <f>+landbouw!L8</f>
        <v>0</v>
      </c>
      <c r="N24" s="978">
        <f>+landbouw!M8</f>
        <v>0</v>
      </c>
      <c r="O24" s="978">
        <f>+landbouw!N8</f>
        <v>0</v>
      </c>
      <c r="P24" s="978">
        <f>+landbouw!O8</f>
        <v>0</v>
      </c>
      <c r="Q24" s="979">
        <f>+landbouw!P8</f>
        <v>0</v>
      </c>
      <c r="R24" s="674">
        <f>SUM(C24:Q24)</f>
        <v>13335.715949464671</v>
      </c>
      <c r="S24" s="67"/>
    </row>
    <row r="25" spans="1:19" s="447" customFormat="1" ht="15" thickBot="1">
      <c r="A25" s="805" t="s">
        <v>834</v>
      </c>
      <c r="B25" s="981"/>
      <c r="C25" s="982">
        <f>IF(Onbekend_ele_kWh="---",0,Onbekend_ele_kWh)/1000+IF(REST_rest_ele_kWh="---",0,REST_rest_ele_kWh)/1000</f>
        <v>2018.3133299000001</v>
      </c>
      <c r="D25" s="982"/>
      <c r="E25" s="982">
        <f>IF(onbekend_gas_kWh="---",0,onbekend_gas_kWh)/1000+IF(REST_rest_gas_kWh="---",0,REST_rest_gas_kWh)/1000</f>
        <v>5817.1035232999993</v>
      </c>
      <c r="F25" s="982"/>
      <c r="G25" s="982"/>
      <c r="H25" s="982"/>
      <c r="I25" s="982"/>
      <c r="J25" s="982"/>
      <c r="K25" s="982"/>
      <c r="L25" s="982"/>
      <c r="M25" s="982"/>
      <c r="N25" s="982"/>
      <c r="O25" s="982"/>
      <c r="P25" s="982"/>
      <c r="Q25" s="983"/>
      <c r="R25" s="674">
        <f>SUM(C25:Q25)</f>
        <v>7835.4168531999994</v>
      </c>
      <c r="S25" s="67"/>
    </row>
    <row r="26" spans="1:19" s="447" customFormat="1" ht="15.75" thickBot="1">
      <c r="A26" s="679" t="s">
        <v>835</v>
      </c>
      <c r="B26" s="791"/>
      <c r="C26" s="786">
        <f>SUM(C24:C25)</f>
        <v>2707.75129161</v>
      </c>
      <c r="D26" s="786">
        <f t="shared" ref="D26:R26" si="2">SUM(D24:D25)</f>
        <v>7270.7142857142862</v>
      </c>
      <c r="E26" s="786">
        <f t="shared" si="2"/>
        <v>8555.6085159434188</v>
      </c>
      <c r="F26" s="786">
        <f t="shared" si="2"/>
        <v>17.777957896775884</v>
      </c>
      <c r="G26" s="786">
        <f t="shared" si="2"/>
        <v>2520.0270471318204</v>
      </c>
      <c r="H26" s="786">
        <f t="shared" si="2"/>
        <v>0</v>
      </c>
      <c r="I26" s="786">
        <f t="shared" si="2"/>
        <v>0</v>
      </c>
      <c r="J26" s="786">
        <f t="shared" si="2"/>
        <v>0</v>
      </c>
      <c r="K26" s="786">
        <f t="shared" si="2"/>
        <v>99.253704368368687</v>
      </c>
      <c r="L26" s="786">
        <f t="shared" si="2"/>
        <v>0</v>
      </c>
      <c r="M26" s="786">
        <f t="shared" si="2"/>
        <v>0</v>
      </c>
      <c r="N26" s="786">
        <f t="shared" si="2"/>
        <v>0</v>
      </c>
      <c r="O26" s="786">
        <f t="shared" si="2"/>
        <v>0</v>
      </c>
      <c r="P26" s="786">
        <f t="shared" si="2"/>
        <v>0</v>
      </c>
      <c r="Q26" s="786">
        <f t="shared" si="2"/>
        <v>0</v>
      </c>
      <c r="R26" s="786">
        <f t="shared" si="2"/>
        <v>21171.13280266467</v>
      </c>
      <c r="S26" s="67"/>
    </row>
    <row r="27" spans="1:19" s="447" customFormat="1" ht="17.25" thickTop="1" thickBot="1">
      <c r="A27" s="680" t="s">
        <v>115</v>
      </c>
      <c r="B27" s="779"/>
      <c r="C27" s="681">
        <f ca="1">C22+C16+C26</f>
        <v>211840.39367156161</v>
      </c>
      <c r="D27" s="681">
        <f t="shared" ref="D27:R27" ca="1" si="3">D22+D16+D26</f>
        <v>8699.4642857142862</v>
      </c>
      <c r="E27" s="681">
        <f t="shared" ca="1" si="3"/>
        <v>280663.99966010998</v>
      </c>
      <c r="F27" s="681">
        <f t="shared" si="3"/>
        <v>28011.211450729679</v>
      </c>
      <c r="G27" s="681">
        <f t="shared" ca="1" si="3"/>
        <v>54865.367592265262</v>
      </c>
      <c r="H27" s="681">
        <f t="shared" si="3"/>
        <v>460663.62771283381</v>
      </c>
      <c r="I27" s="681">
        <f t="shared" si="3"/>
        <v>94229.874598761846</v>
      </c>
      <c r="J27" s="681">
        <f t="shared" si="3"/>
        <v>0</v>
      </c>
      <c r="K27" s="681">
        <f t="shared" si="3"/>
        <v>352.37860242062698</v>
      </c>
      <c r="L27" s="681">
        <f t="shared" si="3"/>
        <v>0</v>
      </c>
      <c r="M27" s="681">
        <f t="shared" ca="1" si="3"/>
        <v>0</v>
      </c>
      <c r="N27" s="681">
        <f t="shared" si="3"/>
        <v>17314.673292567477</v>
      </c>
      <c r="O27" s="681">
        <f t="shared" ca="1" si="3"/>
        <v>24214.665293438611</v>
      </c>
      <c r="P27" s="681">
        <f t="shared" si="3"/>
        <v>211.05</v>
      </c>
      <c r="Q27" s="681">
        <f t="shared" si="3"/>
        <v>686.40000000000009</v>
      </c>
      <c r="R27" s="681">
        <f t="shared" ca="1" si="3"/>
        <v>1181753.1061604032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17739.148830121187</v>
      </c>
      <c r="D40" s="978">
        <f ca="1">tertiair!C20</f>
        <v>55.763807717803545</v>
      </c>
      <c r="E40" s="978">
        <f ca="1">tertiair!D20</f>
        <v>15292.379683416284</v>
      </c>
      <c r="F40" s="978">
        <f>tertiair!E20</f>
        <v>320.97077625797795</v>
      </c>
      <c r="G40" s="978">
        <f ca="1">tertiair!F20</f>
        <v>5936.3266685319204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39344.589766045174</v>
      </c>
    </row>
    <row r="41" spans="1:18">
      <c r="A41" s="796" t="s">
        <v>224</v>
      </c>
      <c r="B41" s="803"/>
      <c r="C41" s="978">
        <f ca="1">huishoudens!B12</f>
        <v>12249.105459291803</v>
      </c>
      <c r="D41" s="978">
        <f ca="1">huishoudens!C12</f>
        <v>0</v>
      </c>
      <c r="E41" s="978">
        <f>huishoudens!D12</f>
        <v>33302.460463340205</v>
      </c>
      <c r="F41" s="978">
        <f>huishoudens!E12</f>
        <v>3800.2281299176429</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49351.794052549652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11714.862903723924</v>
      </c>
      <c r="D43" s="978">
        <f ca="1">industrie!C22</f>
        <v>0</v>
      </c>
      <c r="E43" s="978">
        <f>industrie!D22</f>
        <v>6315.8234523079072</v>
      </c>
      <c r="F43" s="978">
        <f>industrie!E22</f>
        <v>1936.9065643043612</v>
      </c>
      <c r="G43" s="978">
        <f>industrie!F22</f>
        <v>8039.8792570187097</v>
      </c>
      <c r="H43" s="978">
        <f>industrie!G22</f>
        <v>0</v>
      </c>
      <c r="I43" s="978">
        <f>industrie!H22</f>
        <v>0</v>
      </c>
      <c r="J43" s="978">
        <f>industrie!I22</f>
        <v>0</v>
      </c>
      <c r="K43" s="978">
        <f>industrie!J22</f>
        <v>89.606213910499434</v>
      </c>
      <c r="L43" s="978">
        <f>industrie!K22</f>
        <v>0</v>
      </c>
      <c r="M43" s="978">
        <f>industrie!L22</f>
        <v>0</v>
      </c>
      <c r="N43" s="978">
        <f>industrie!M22</f>
        <v>0</v>
      </c>
      <c r="O43" s="978">
        <f>industrie!N22</f>
        <v>0</v>
      </c>
      <c r="P43" s="978">
        <f>industrie!O22</f>
        <v>0</v>
      </c>
      <c r="Q43" s="748">
        <f>industrie!P22</f>
        <v>0</v>
      </c>
      <c r="R43" s="823">
        <f t="shared" ca="1" si="4"/>
        <v>28097.078391265401</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41703.11719313691</v>
      </c>
      <c r="D46" s="706">
        <f t="shared" ref="D46:Q46" ca="1" si="5">SUM(D39:D45)</f>
        <v>55.763807717803545</v>
      </c>
      <c r="E46" s="706">
        <f t="shared" ca="1" si="5"/>
        <v>54910.663599064399</v>
      </c>
      <c r="F46" s="706">
        <f t="shared" si="5"/>
        <v>6058.1054704799826</v>
      </c>
      <c r="G46" s="706">
        <f t="shared" ca="1" si="5"/>
        <v>13976.20592555063</v>
      </c>
      <c r="H46" s="706">
        <f t="shared" si="5"/>
        <v>0</v>
      </c>
      <c r="I46" s="706">
        <f t="shared" si="5"/>
        <v>0</v>
      </c>
      <c r="J46" s="706">
        <f t="shared" si="5"/>
        <v>0</v>
      </c>
      <c r="K46" s="706">
        <f t="shared" si="5"/>
        <v>89.606213910499434</v>
      </c>
      <c r="L46" s="706">
        <f t="shared" si="5"/>
        <v>0</v>
      </c>
      <c r="M46" s="706">
        <f t="shared" ca="1" si="5"/>
        <v>0</v>
      </c>
      <c r="N46" s="706">
        <f t="shared" si="5"/>
        <v>0</v>
      </c>
      <c r="O46" s="706">
        <f t="shared" ca="1" si="5"/>
        <v>0</v>
      </c>
      <c r="P46" s="706">
        <f t="shared" si="5"/>
        <v>0</v>
      </c>
      <c r="Q46" s="706">
        <f t="shared" si="5"/>
        <v>0</v>
      </c>
      <c r="R46" s="706">
        <f ca="1">SUM(R39:R45)</f>
        <v>116793.46220986023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1030.9432965481171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1030.9432965481171</v>
      </c>
    </row>
    <row r="50" spans="1:18">
      <c r="A50" s="799" t="s">
        <v>306</v>
      </c>
      <c r="B50" s="809"/>
      <c r="C50" s="677">
        <f ca="1">transport!B18</f>
        <v>25.729102788572707</v>
      </c>
      <c r="D50" s="677">
        <f>transport!C18</f>
        <v>0</v>
      </c>
      <c r="E50" s="677">
        <f>transport!D18</f>
        <v>55.231412057268031</v>
      </c>
      <c r="F50" s="677">
        <f>transport!E18</f>
        <v>296.40393239308844</v>
      </c>
      <c r="G50" s="677">
        <f>transport!F18</f>
        <v>0</v>
      </c>
      <c r="H50" s="677">
        <f>transport!G18</f>
        <v>121966.24530277851</v>
      </c>
      <c r="I50" s="677">
        <f>transport!H18</f>
        <v>23463.238775091701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145806.84852510915</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25.729102788572707</v>
      </c>
      <c r="D52" s="706">
        <f t="shared" ref="D52:Q52" ca="1" si="6">SUM(D48:D51)</f>
        <v>0</v>
      </c>
      <c r="E52" s="706">
        <f t="shared" si="6"/>
        <v>55.231412057268031</v>
      </c>
      <c r="F52" s="706">
        <f t="shared" si="6"/>
        <v>296.40393239308844</v>
      </c>
      <c r="G52" s="706">
        <f t="shared" si="6"/>
        <v>0</v>
      </c>
      <c r="H52" s="706">
        <f t="shared" si="6"/>
        <v>122997.18859932662</v>
      </c>
      <c r="I52" s="706">
        <f t="shared" si="6"/>
        <v>23463.238775091701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146837.79182165727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137.56556799251115</v>
      </c>
      <c r="D54" s="677">
        <f ca="1">+landbouw!C12</f>
        <v>283.77442757631411</v>
      </c>
      <c r="E54" s="677">
        <f>+landbouw!D12</f>
        <v>553.17800851397089</v>
      </c>
      <c r="F54" s="677">
        <f>+landbouw!E12</f>
        <v>4.0355964425681261</v>
      </c>
      <c r="G54" s="677">
        <f>+landbouw!F12</f>
        <v>672.84722158419606</v>
      </c>
      <c r="H54" s="677">
        <f>+landbouw!G12</f>
        <v>0</v>
      </c>
      <c r="I54" s="677">
        <f>+landbouw!H12</f>
        <v>0</v>
      </c>
      <c r="J54" s="677">
        <f>+landbouw!I12</f>
        <v>0</v>
      </c>
      <c r="K54" s="677">
        <f>+landbouw!J12</f>
        <v>35.135811346402512</v>
      </c>
      <c r="L54" s="677">
        <f>+landbouw!K12</f>
        <v>0</v>
      </c>
      <c r="M54" s="677">
        <f>+landbouw!L12</f>
        <v>0</v>
      </c>
      <c r="N54" s="677">
        <f>+landbouw!M12</f>
        <v>0</v>
      </c>
      <c r="O54" s="677">
        <f>+landbouw!N12</f>
        <v>0</v>
      </c>
      <c r="P54" s="677">
        <f>+landbouw!O12</f>
        <v>0</v>
      </c>
      <c r="Q54" s="678">
        <f>+landbouw!P12</f>
        <v>0</v>
      </c>
      <c r="R54" s="705">
        <f ca="1">SUM(C54:Q54)</f>
        <v>1686.5366334559628</v>
      </c>
    </row>
    <row r="55" spans="1:18" ht="15" thickBot="1">
      <c r="A55" s="799" t="s">
        <v>834</v>
      </c>
      <c r="B55" s="809"/>
      <c r="C55" s="677">
        <f ca="1">C25*'EF ele_warmte'!B12</f>
        <v>402.71994731171884</v>
      </c>
      <c r="D55" s="677"/>
      <c r="E55" s="677">
        <f>E25*EF_CO2_aardgas</f>
        <v>1175.0549117066</v>
      </c>
      <c r="F55" s="677"/>
      <c r="G55" s="677"/>
      <c r="H55" s="677"/>
      <c r="I55" s="677"/>
      <c r="J55" s="677"/>
      <c r="K55" s="677"/>
      <c r="L55" s="677"/>
      <c r="M55" s="677"/>
      <c r="N55" s="677"/>
      <c r="O55" s="677"/>
      <c r="P55" s="677"/>
      <c r="Q55" s="678"/>
      <c r="R55" s="705">
        <f ca="1">SUM(C55:Q55)</f>
        <v>1577.7748590183189</v>
      </c>
    </row>
    <row r="56" spans="1:18" ht="15.75" thickBot="1">
      <c r="A56" s="797" t="s">
        <v>835</v>
      </c>
      <c r="B56" s="810"/>
      <c r="C56" s="706">
        <f ca="1">SUM(C54:C55)</f>
        <v>540.28551530422999</v>
      </c>
      <c r="D56" s="706">
        <f t="shared" ref="D56:Q56" ca="1" si="7">SUM(D54:D55)</f>
        <v>283.77442757631411</v>
      </c>
      <c r="E56" s="706">
        <f t="shared" si="7"/>
        <v>1728.232920220571</v>
      </c>
      <c r="F56" s="706">
        <f t="shared" si="7"/>
        <v>4.0355964425681261</v>
      </c>
      <c r="G56" s="706">
        <f t="shared" si="7"/>
        <v>672.84722158419606</v>
      </c>
      <c r="H56" s="706">
        <f t="shared" si="7"/>
        <v>0</v>
      </c>
      <c r="I56" s="706">
        <f t="shared" si="7"/>
        <v>0</v>
      </c>
      <c r="J56" s="706">
        <f t="shared" si="7"/>
        <v>0</v>
      </c>
      <c r="K56" s="706">
        <f t="shared" si="7"/>
        <v>35.135811346402512</v>
      </c>
      <c r="L56" s="706">
        <f t="shared" si="7"/>
        <v>0</v>
      </c>
      <c r="M56" s="706">
        <f t="shared" si="7"/>
        <v>0</v>
      </c>
      <c r="N56" s="706">
        <f t="shared" si="7"/>
        <v>0</v>
      </c>
      <c r="O56" s="706">
        <f t="shared" si="7"/>
        <v>0</v>
      </c>
      <c r="P56" s="706">
        <f t="shared" si="7"/>
        <v>0</v>
      </c>
      <c r="Q56" s="707">
        <f t="shared" si="7"/>
        <v>0</v>
      </c>
      <c r="R56" s="708">
        <f ca="1">SUM(R54:R55)</f>
        <v>3264.3114924742817</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42269.131811229716</v>
      </c>
      <c r="D61" s="714">
        <f t="shared" ref="D61:Q61" ca="1" si="8">D46+D52+D56</f>
        <v>339.53823529411767</v>
      </c>
      <c r="E61" s="714">
        <f t="shared" ca="1" si="8"/>
        <v>56694.127931342242</v>
      </c>
      <c r="F61" s="714">
        <f t="shared" si="8"/>
        <v>6358.544999315639</v>
      </c>
      <c r="G61" s="714">
        <f t="shared" ca="1" si="8"/>
        <v>14649.053147134826</v>
      </c>
      <c r="H61" s="714">
        <f t="shared" si="8"/>
        <v>122997.18859932662</v>
      </c>
      <c r="I61" s="714">
        <f t="shared" si="8"/>
        <v>23463.238775091701</v>
      </c>
      <c r="J61" s="714">
        <f t="shared" si="8"/>
        <v>0</v>
      </c>
      <c r="K61" s="714">
        <f t="shared" si="8"/>
        <v>124.74202525690194</v>
      </c>
      <c r="L61" s="714">
        <f t="shared" si="8"/>
        <v>0</v>
      </c>
      <c r="M61" s="714">
        <f t="shared" ca="1" si="8"/>
        <v>0</v>
      </c>
      <c r="N61" s="714">
        <f t="shared" si="8"/>
        <v>0</v>
      </c>
      <c r="O61" s="714">
        <f t="shared" ca="1" si="8"/>
        <v>0</v>
      </c>
      <c r="P61" s="714">
        <f t="shared" si="8"/>
        <v>0</v>
      </c>
      <c r="Q61" s="714">
        <f t="shared" si="8"/>
        <v>0</v>
      </c>
      <c r="R61" s="714">
        <f ca="1">R46+R52+R56</f>
        <v>266895.56552399177</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0.19953291758305541</v>
      </c>
      <c r="D63" s="755">
        <f t="shared" ca="1" si="9"/>
        <v>3.9029786679127591E-2</v>
      </c>
      <c r="E63" s="989">
        <f t="shared" ca="1" si="9"/>
        <v>0.2020000000000001</v>
      </c>
      <c r="F63" s="755">
        <f t="shared" si="9"/>
        <v>0.22700000000000006</v>
      </c>
      <c r="G63" s="755">
        <f t="shared" ca="1" si="9"/>
        <v>0.26700000000000002</v>
      </c>
      <c r="H63" s="755">
        <f t="shared" si="9"/>
        <v>0.26699999999999996</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9877.5672521250053</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5685.6220234011416</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5089.5</v>
      </c>
      <c r="C76" s="724">
        <f>'lokale energieproductie'!B8*IFERROR(SUM(D76:H76)/SUM(D76:O76),0)</f>
        <v>1000.1249999999998</v>
      </c>
      <c r="D76" s="999">
        <f>'lokale energieproductie'!C8</f>
        <v>1176.6176470588234</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5987.6470588235297</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237.67676470588233</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20652.689275526147</v>
      </c>
      <c r="C78" s="729">
        <f>SUM(C72:C77)</f>
        <v>1000.1249999999998</v>
      </c>
      <c r="D78" s="730">
        <f t="shared" ref="D78:H78" si="10">SUM(D76:D77)</f>
        <v>1176.6176470588234</v>
      </c>
      <c r="E78" s="730">
        <f t="shared" si="10"/>
        <v>0</v>
      </c>
      <c r="F78" s="730">
        <f t="shared" si="10"/>
        <v>0</v>
      </c>
      <c r="G78" s="730">
        <f t="shared" si="10"/>
        <v>0</v>
      </c>
      <c r="H78" s="730">
        <f t="shared" si="10"/>
        <v>0</v>
      </c>
      <c r="I78" s="730">
        <f>SUM(I76:I77)</f>
        <v>0</v>
      </c>
      <c r="J78" s="730">
        <f>SUM(J76:J77)</f>
        <v>5987.6470588235297</v>
      </c>
      <c r="K78" s="730">
        <f t="shared" ref="K78:L78" si="11">SUM(K76:K77)</f>
        <v>0</v>
      </c>
      <c r="L78" s="730">
        <f t="shared" si="11"/>
        <v>0</v>
      </c>
      <c r="M78" s="730">
        <f>SUM(M76:M77)</f>
        <v>0</v>
      </c>
      <c r="N78" s="730">
        <f>SUM(N76:N77)</f>
        <v>0</v>
      </c>
      <c r="O78" s="834">
        <f>SUM(O76:O77)</f>
        <v>0</v>
      </c>
      <c r="P78" s="731">
        <v>0</v>
      </c>
      <c r="Q78" s="731">
        <f>SUM(Q76:Q77)</f>
        <v>237.67676470588233</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7270.7142857142862</v>
      </c>
      <c r="C87" s="740">
        <f>'lokale energieproductie'!B17*IFERROR(SUM(D87:H87)/SUM(D87:O87),0)</f>
        <v>1428.75</v>
      </c>
      <c r="D87" s="751">
        <f>'lokale energieproductie'!C17</f>
        <v>1680.8823529411766</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8553.7815126050427</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339.53823529411767</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7270.7142857142862</v>
      </c>
      <c r="C90" s="729">
        <f>SUM(C87:C89)</f>
        <v>1428.75</v>
      </c>
      <c r="D90" s="729">
        <f t="shared" ref="D90:H90" si="12">SUM(D87:D89)</f>
        <v>1680.8823529411766</v>
      </c>
      <c r="E90" s="729">
        <f t="shared" si="12"/>
        <v>0</v>
      </c>
      <c r="F90" s="729">
        <f t="shared" si="12"/>
        <v>0</v>
      </c>
      <c r="G90" s="729">
        <f t="shared" si="12"/>
        <v>0</v>
      </c>
      <c r="H90" s="729">
        <f t="shared" si="12"/>
        <v>0</v>
      </c>
      <c r="I90" s="729">
        <f>SUM(I87:I89)</f>
        <v>0</v>
      </c>
      <c r="J90" s="729">
        <f>SUM(J87:J89)</f>
        <v>8553.7815126050427</v>
      </c>
      <c r="K90" s="729">
        <f t="shared" ref="K90:L90" si="13">SUM(K87:K89)</f>
        <v>0</v>
      </c>
      <c r="L90" s="729">
        <f t="shared" si="13"/>
        <v>0</v>
      </c>
      <c r="M90" s="729">
        <f>SUM(M87:M89)</f>
        <v>0</v>
      </c>
      <c r="N90" s="729">
        <f>SUM(N87:N89)</f>
        <v>0</v>
      </c>
      <c r="O90" s="729">
        <f>SUM(O87:O89)</f>
        <v>0</v>
      </c>
      <c r="P90" s="729">
        <v>0</v>
      </c>
      <c r="Q90" s="729">
        <f>SUM(Q87:Q89)</f>
        <v>339.53823529411767</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9877.5672521250053</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5685.6220234011416</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N30</f>
        <v>6089.625</v>
      </c>
      <c r="C8" s="544">
        <f>B49</f>
        <v>1176.6176470588234</v>
      </c>
      <c r="D8" s="1009"/>
      <c r="E8" s="1009">
        <f>E49</f>
        <v>0</v>
      </c>
      <c r="F8" s="1010"/>
      <c r="G8" s="545"/>
      <c r="H8" s="1009">
        <f>I49</f>
        <v>0</v>
      </c>
      <c r="I8" s="1009">
        <f>G49+F49</f>
        <v>0</v>
      </c>
      <c r="J8" s="1009">
        <f>H49+D49+C49</f>
        <v>5987.6470588235297</v>
      </c>
      <c r="K8" s="1009"/>
      <c r="L8" s="1009"/>
      <c r="M8" s="1009"/>
      <c r="N8" s="546"/>
      <c r="O8" s="547">
        <f>C8*$C$12+D8*$D$12+E8*$E$12+F8*$F$12+G8*$G$12+H8*$H$12+I8*$I$12+J8*$J$12</f>
        <v>237.67676470588233</v>
      </c>
      <c r="P8" s="1239"/>
      <c r="Q8" s="1240"/>
      <c r="S8" s="973"/>
      <c r="T8" s="1260"/>
      <c r="U8" s="1260"/>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21652.814275526147</v>
      </c>
      <c r="C10" s="557">
        <f t="shared" ref="C10:L10" si="0">SUM(C8:C9)</f>
        <v>1176.6176470588234</v>
      </c>
      <c r="D10" s="557">
        <f t="shared" si="0"/>
        <v>0</v>
      </c>
      <c r="E10" s="557">
        <f t="shared" si="0"/>
        <v>0</v>
      </c>
      <c r="F10" s="557">
        <f t="shared" si="0"/>
        <v>0</v>
      </c>
      <c r="G10" s="557">
        <f t="shared" si="0"/>
        <v>0</v>
      </c>
      <c r="H10" s="557">
        <f t="shared" si="0"/>
        <v>0</v>
      </c>
      <c r="I10" s="557">
        <f t="shared" si="0"/>
        <v>0</v>
      </c>
      <c r="J10" s="557">
        <f t="shared" si="0"/>
        <v>5987.6470588235297</v>
      </c>
      <c r="K10" s="557">
        <f t="shared" si="0"/>
        <v>0</v>
      </c>
      <c r="L10" s="557">
        <f t="shared" si="0"/>
        <v>0</v>
      </c>
      <c r="M10" s="1012"/>
      <c r="N10" s="1012"/>
      <c r="O10" s="558">
        <f>SUM(O4:O9)</f>
        <v>237.67676470588233</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O30</f>
        <v>8699.4642857142862</v>
      </c>
      <c r="C17" s="569">
        <f>B50</f>
        <v>1680.8823529411766</v>
      </c>
      <c r="D17" s="570"/>
      <c r="E17" s="570">
        <f>E50</f>
        <v>0</v>
      </c>
      <c r="F17" s="1015"/>
      <c r="G17" s="571"/>
      <c r="H17" s="569">
        <f>I50</f>
        <v>0</v>
      </c>
      <c r="I17" s="570">
        <f>G50+F50</f>
        <v>0</v>
      </c>
      <c r="J17" s="570">
        <f>H50+D50+C50</f>
        <v>8553.7815126050427</v>
      </c>
      <c r="K17" s="570"/>
      <c r="L17" s="570"/>
      <c r="M17" s="570"/>
      <c r="N17" s="1016"/>
      <c r="O17" s="572">
        <f>C17*$C$22+E17*$E$22+H17*$H$22+I17*$I$22+J17*$J$22+D17*$D$22+F17*$F$22+G17*$G$22+K17*$K$22+L17*$L$22</f>
        <v>339.53823529411767</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8699.4642857142862</v>
      </c>
      <c r="C20" s="556">
        <f>SUM(C17:C19)</f>
        <v>1680.8823529411766</v>
      </c>
      <c r="D20" s="556">
        <f t="shared" ref="D20:L20" si="1">SUM(D17:D19)</f>
        <v>0</v>
      </c>
      <c r="E20" s="556">
        <f t="shared" si="1"/>
        <v>0</v>
      </c>
      <c r="F20" s="556">
        <f t="shared" si="1"/>
        <v>0</v>
      </c>
      <c r="G20" s="556">
        <f t="shared" si="1"/>
        <v>0</v>
      </c>
      <c r="H20" s="556">
        <f t="shared" si="1"/>
        <v>0</v>
      </c>
      <c r="I20" s="556">
        <f t="shared" si="1"/>
        <v>0</v>
      </c>
      <c r="J20" s="556">
        <f t="shared" si="1"/>
        <v>8553.7815126050427</v>
      </c>
      <c r="K20" s="556">
        <f t="shared" si="1"/>
        <v>0</v>
      </c>
      <c r="L20" s="556">
        <f t="shared" si="1"/>
        <v>0</v>
      </c>
      <c r="M20" s="556"/>
      <c r="N20" s="556"/>
      <c r="O20" s="575">
        <f>SUM(O17:O19)</f>
        <v>339.53823529411767</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23027</v>
      </c>
      <c r="C28" s="770">
        <v>1500</v>
      </c>
      <c r="D28" s="627" t="s">
        <v>896</v>
      </c>
      <c r="E28" s="626" t="s">
        <v>897</v>
      </c>
      <c r="F28" s="626" t="s">
        <v>898</v>
      </c>
      <c r="G28" s="626" t="s">
        <v>899</v>
      </c>
      <c r="H28" s="626" t="s">
        <v>900</v>
      </c>
      <c r="I28" s="626" t="s">
        <v>897</v>
      </c>
      <c r="J28" s="769">
        <v>40101</v>
      </c>
      <c r="K28" s="769">
        <v>40101</v>
      </c>
      <c r="L28" s="626" t="s">
        <v>901</v>
      </c>
      <c r="M28" s="626">
        <v>1131</v>
      </c>
      <c r="N28" s="626">
        <v>5089.5</v>
      </c>
      <c r="O28" s="626">
        <v>7270.7142857142862</v>
      </c>
      <c r="P28" s="626">
        <v>0</v>
      </c>
      <c r="Q28" s="626">
        <v>14541.428571428572</v>
      </c>
      <c r="R28" s="626">
        <v>0</v>
      </c>
      <c r="S28" s="626">
        <v>0</v>
      </c>
      <c r="T28" s="626">
        <v>0</v>
      </c>
      <c r="U28" s="626">
        <v>0</v>
      </c>
      <c r="V28" s="626">
        <v>0</v>
      </c>
      <c r="W28" s="626">
        <v>0</v>
      </c>
      <c r="X28" s="626">
        <v>10</v>
      </c>
      <c r="Y28" s="626" t="s">
        <v>111</v>
      </c>
      <c r="Z28" s="628" t="s">
        <v>111</v>
      </c>
    </row>
    <row r="29" spans="1:26" s="580" customFormat="1" ht="25.5">
      <c r="A29" s="579"/>
      <c r="B29" s="770">
        <v>23027</v>
      </c>
      <c r="C29" s="770">
        <v>1500</v>
      </c>
      <c r="D29" s="627"/>
      <c r="E29" s="626"/>
      <c r="F29" s="626" t="s">
        <v>902</v>
      </c>
      <c r="G29" s="626" t="s">
        <v>899</v>
      </c>
      <c r="H29" s="626" t="s">
        <v>900</v>
      </c>
      <c r="I29" s="626" t="s">
        <v>903</v>
      </c>
      <c r="J29" s="769">
        <v>42234</v>
      </c>
      <c r="K29" s="769">
        <v>42257</v>
      </c>
      <c r="L29" s="626" t="s">
        <v>901</v>
      </c>
      <c r="M29" s="626">
        <v>889</v>
      </c>
      <c r="N29" s="626">
        <v>1000.125</v>
      </c>
      <c r="O29" s="626">
        <v>1428.75</v>
      </c>
      <c r="P29" s="626">
        <v>2857.5</v>
      </c>
      <c r="Q29" s="626">
        <v>0</v>
      </c>
      <c r="R29" s="626">
        <v>0</v>
      </c>
      <c r="S29" s="626">
        <v>0</v>
      </c>
      <c r="T29" s="626">
        <v>0</v>
      </c>
      <c r="U29" s="626">
        <v>0</v>
      </c>
      <c r="V29" s="626">
        <v>0</v>
      </c>
      <c r="W29" s="626">
        <v>0</v>
      </c>
      <c r="X29" s="626">
        <v>1100</v>
      </c>
      <c r="Y29" s="626" t="s">
        <v>51</v>
      </c>
      <c r="Z29" s="628" t="s">
        <v>155</v>
      </c>
    </row>
    <row r="30" spans="1:26" s="564" customFormat="1">
      <c r="A30" s="582" t="s">
        <v>279</v>
      </c>
      <c r="B30" s="583"/>
      <c r="C30" s="583"/>
      <c r="D30" s="583"/>
      <c r="E30" s="583"/>
      <c r="F30" s="583"/>
      <c r="G30" s="583"/>
      <c r="H30" s="583"/>
      <c r="I30" s="583"/>
      <c r="J30" s="583"/>
      <c r="K30" s="583"/>
      <c r="L30" s="584"/>
      <c r="M30" s="584">
        <f>SUM(M28:M29)</f>
        <v>2020</v>
      </c>
      <c r="N30" s="584">
        <f>SUM(N28:N29)</f>
        <v>6089.625</v>
      </c>
      <c r="O30" s="584">
        <f>SUM(O28:O29)</f>
        <v>8699.4642857142862</v>
      </c>
      <c r="P30" s="584">
        <f>SUM(P28:P29)</f>
        <v>2857.5</v>
      </c>
      <c r="Q30" s="584">
        <f>SUM(Q28:Q29)</f>
        <v>14541.428571428572</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889</v>
      </c>
      <c r="N32" s="584">
        <f ca="1">SUMIF($Z$28:AD29,"tertiair",N28:N29)</f>
        <v>1000.125</v>
      </c>
      <c r="O32" s="584">
        <f ca="1">SUMIF($Z$28:AE29,"tertiair",O28:O29)</f>
        <v>1428.75</v>
      </c>
      <c r="P32" s="584">
        <f ca="1">SUMIF($Z$28:AF29,"tertiair",P28:P29)</f>
        <v>2857.5</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1131</v>
      </c>
      <c r="N33" s="589">
        <f>SUMIF($Z$28:$Z$29,"landbouw",N28:N29)</f>
        <v>5089.5</v>
      </c>
      <c r="O33" s="589">
        <f>SUMIF($Z$28:$Z$29,"landbouw",O28:O29)</f>
        <v>7270.7142857142862</v>
      </c>
      <c r="P33" s="589">
        <f>SUMIF($Z$28:$Z$29,"landbouw",P28:P29)</f>
        <v>0</v>
      </c>
      <c r="Q33" s="589">
        <f>SUMIF($Z$28:$Z$29,"landbouw",Q28:Q29)</f>
        <v>14541.428571428572</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536</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536</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1176.6176470588234</v>
      </c>
      <c r="C49" s="618">
        <f t="shared" si="2"/>
        <v>5987.6470588235297</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1680.8823529411766</v>
      </c>
      <c r="C50" s="621">
        <f t="shared" si="3"/>
        <v>8553.7815126050427</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61388.895665263466</v>
      </c>
      <c r="C4" s="451">
        <f>huishoudens!C8</f>
        <v>0</v>
      </c>
      <c r="D4" s="451">
        <f>huishoudens!D8</f>
        <v>164863.6656601</v>
      </c>
      <c r="E4" s="451">
        <f>huishoudens!E8</f>
        <v>16741.093083337633</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17331.176267850889</v>
      </c>
      <c r="O4" s="451">
        <f>huishoudens!O8</f>
        <v>211.05</v>
      </c>
      <c r="P4" s="452">
        <f>huishoudens!P8</f>
        <v>629.20000000000005</v>
      </c>
      <c r="Q4" s="453">
        <f>SUM(B4:P4)</f>
        <v>261165.080676552</v>
      </c>
    </row>
    <row r="5" spans="1:17">
      <c r="A5" s="450" t="s">
        <v>155</v>
      </c>
      <c r="B5" s="451">
        <f ca="1">tertiair!B16</f>
        <v>86011.26915564001</v>
      </c>
      <c r="C5" s="451">
        <f ca="1">tertiair!C16</f>
        <v>1428.75</v>
      </c>
      <c r="D5" s="451">
        <f ca="1">tertiair!D16</f>
        <v>75704.849917902393</v>
      </c>
      <c r="E5" s="451">
        <f>tertiair!E16</f>
        <v>1413.9681773479203</v>
      </c>
      <c r="F5" s="451">
        <f ca="1">tertiair!F16</f>
        <v>22233.433215475357</v>
      </c>
      <c r="G5" s="451">
        <f>tertiair!G16</f>
        <v>0</v>
      </c>
      <c r="H5" s="451">
        <f>tertiair!H16</f>
        <v>0</v>
      </c>
      <c r="I5" s="451">
        <f>tertiair!I16</f>
        <v>0</v>
      </c>
      <c r="J5" s="451">
        <f>tertiair!J16</f>
        <v>0</v>
      </c>
      <c r="K5" s="451">
        <f>tertiair!K16</f>
        <v>0</v>
      </c>
      <c r="L5" s="451">
        <f ca="1">tertiair!L16</f>
        <v>0</v>
      </c>
      <c r="M5" s="451">
        <f>tertiair!M16</f>
        <v>0</v>
      </c>
      <c r="N5" s="451">
        <f ca="1">tertiair!N16</f>
        <v>2893.4615991763458</v>
      </c>
      <c r="O5" s="451">
        <f>tertiair!O16</f>
        <v>0</v>
      </c>
      <c r="P5" s="452">
        <f>tertiair!P16</f>
        <v>57.2</v>
      </c>
      <c r="Q5" s="450">
        <f t="shared" ref="Q5:Q14" ca="1" si="0">SUM(B5:P5)</f>
        <v>189742.93206554203</v>
      </c>
    </row>
    <row r="6" spans="1:17">
      <c r="A6" s="450" t="s">
        <v>193</v>
      </c>
      <c r="B6" s="451">
        <f>'openbare verlichting'!B8</f>
        <v>2892.1010000000001</v>
      </c>
      <c r="C6" s="451"/>
      <c r="D6" s="451"/>
      <c r="E6" s="451"/>
      <c r="F6" s="451"/>
      <c r="G6" s="451"/>
      <c r="H6" s="451"/>
      <c r="I6" s="451"/>
      <c r="J6" s="451"/>
      <c r="K6" s="451"/>
      <c r="L6" s="451"/>
      <c r="M6" s="451"/>
      <c r="N6" s="451"/>
      <c r="O6" s="451"/>
      <c r="P6" s="452"/>
      <c r="Q6" s="450">
        <f t="shared" si="0"/>
        <v>2892.1010000000001</v>
      </c>
    </row>
    <row r="7" spans="1:17">
      <c r="A7" s="450" t="s">
        <v>111</v>
      </c>
      <c r="B7" s="451">
        <f>landbouw!B8</f>
        <v>689.43796170999997</v>
      </c>
      <c r="C7" s="451">
        <f>landbouw!C8</f>
        <v>7270.7142857142862</v>
      </c>
      <c r="D7" s="451">
        <f>landbouw!D8</f>
        <v>2738.5049926434203</v>
      </c>
      <c r="E7" s="451">
        <f>landbouw!E8</f>
        <v>17.777957896775884</v>
      </c>
      <c r="F7" s="451">
        <f>landbouw!F8</f>
        <v>2520.0270471318204</v>
      </c>
      <c r="G7" s="451">
        <f>landbouw!G8</f>
        <v>0</v>
      </c>
      <c r="H7" s="451">
        <f>landbouw!H8</f>
        <v>0</v>
      </c>
      <c r="I7" s="451">
        <f>landbouw!I8</f>
        <v>0</v>
      </c>
      <c r="J7" s="451">
        <f>landbouw!J8</f>
        <v>99.253704368368687</v>
      </c>
      <c r="K7" s="451">
        <f>landbouw!K8</f>
        <v>0</v>
      </c>
      <c r="L7" s="451">
        <f>landbouw!L8</f>
        <v>0</v>
      </c>
      <c r="M7" s="451">
        <f>landbouw!M8</f>
        <v>0</v>
      </c>
      <c r="N7" s="451">
        <f>landbouw!N8</f>
        <v>0</v>
      </c>
      <c r="O7" s="451">
        <f>landbouw!O8</f>
        <v>0</v>
      </c>
      <c r="P7" s="452">
        <f>landbouw!P8</f>
        <v>0</v>
      </c>
      <c r="Q7" s="450">
        <f t="shared" si="0"/>
        <v>13335.715949464671</v>
      </c>
    </row>
    <row r="8" spans="1:17">
      <c r="A8" s="450" t="s">
        <v>637</v>
      </c>
      <c r="B8" s="451">
        <f>industrie!B18</f>
        <v>58711.429901523006</v>
      </c>
      <c r="C8" s="451">
        <f>industrie!C18</f>
        <v>0</v>
      </c>
      <c r="D8" s="451">
        <f>industrie!D18</f>
        <v>31266.452734197559</v>
      </c>
      <c r="E8" s="451">
        <f>industrie!E18</f>
        <v>8532.628036583088</v>
      </c>
      <c r="F8" s="451">
        <f>industrie!F18</f>
        <v>30111.907329658086</v>
      </c>
      <c r="G8" s="451">
        <f>industrie!G18</f>
        <v>0</v>
      </c>
      <c r="H8" s="451">
        <f>industrie!H18</f>
        <v>0</v>
      </c>
      <c r="I8" s="451">
        <f>industrie!I18</f>
        <v>0</v>
      </c>
      <c r="J8" s="451">
        <f>industrie!J18</f>
        <v>253.12489805225832</v>
      </c>
      <c r="K8" s="451">
        <f>industrie!K18</f>
        <v>0</v>
      </c>
      <c r="L8" s="451">
        <f>industrie!L18</f>
        <v>0</v>
      </c>
      <c r="M8" s="451">
        <f>industrie!M18</f>
        <v>0</v>
      </c>
      <c r="N8" s="451">
        <f>industrie!N18</f>
        <v>3990.0274264113759</v>
      </c>
      <c r="O8" s="451">
        <f>industrie!O18</f>
        <v>0</v>
      </c>
      <c r="P8" s="452">
        <f>industrie!P18</f>
        <v>0</v>
      </c>
      <c r="Q8" s="450">
        <f t="shared" si="0"/>
        <v>132865.5703264254</v>
      </c>
    </row>
    <row r="9" spans="1:17" s="456" customFormat="1">
      <c r="A9" s="454" t="s">
        <v>563</v>
      </c>
      <c r="B9" s="455">
        <f>transport!B14</f>
        <v>128.94665752513237</v>
      </c>
      <c r="C9" s="455">
        <f>transport!C14</f>
        <v>0</v>
      </c>
      <c r="D9" s="455">
        <f>transport!D14</f>
        <v>273.42283196667341</v>
      </c>
      <c r="E9" s="455">
        <f>transport!E14</f>
        <v>1305.7441955642662</v>
      </c>
      <c r="F9" s="455">
        <f>transport!F14</f>
        <v>0</v>
      </c>
      <c r="G9" s="455">
        <f>transport!G14</f>
        <v>456802.41686433897</v>
      </c>
      <c r="H9" s="455">
        <f>transport!H14</f>
        <v>94229.874598761846</v>
      </c>
      <c r="I9" s="455">
        <f>transport!I14</f>
        <v>0</v>
      </c>
      <c r="J9" s="455">
        <f>transport!J14</f>
        <v>0</v>
      </c>
      <c r="K9" s="455">
        <f>transport!K14</f>
        <v>0</v>
      </c>
      <c r="L9" s="455">
        <f>transport!L14</f>
        <v>0</v>
      </c>
      <c r="M9" s="455">
        <f>transport!M14</f>
        <v>17195.058359051105</v>
      </c>
      <c r="N9" s="455">
        <f>transport!N14</f>
        <v>0</v>
      </c>
      <c r="O9" s="455">
        <f>transport!O14</f>
        <v>0</v>
      </c>
      <c r="P9" s="455">
        <f>transport!P14</f>
        <v>0</v>
      </c>
      <c r="Q9" s="454">
        <f>SUM(B9:P9)</f>
        <v>569935.46350720804</v>
      </c>
    </row>
    <row r="10" spans="1:17">
      <c r="A10" s="450" t="s">
        <v>553</v>
      </c>
      <c r="B10" s="451">
        <f>transport!B54</f>
        <v>0</v>
      </c>
      <c r="C10" s="451">
        <f>transport!C54</f>
        <v>0</v>
      </c>
      <c r="D10" s="451">
        <f>transport!D54</f>
        <v>0</v>
      </c>
      <c r="E10" s="451">
        <f>transport!E54</f>
        <v>0</v>
      </c>
      <c r="F10" s="451">
        <f>transport!F54</f>
        <v>0</v>
      </c>
      <c r="G10" s="451">
        <f>transport!G54</f>
        <v>3861.2108484948203</v>
      </c>
      <c r="H10" s="451">
        <f>transport!H54</f>
        <v>0</v>
      </c>
      <c r="I10" s="451">
        <f>transport!I54</f>
        <v>0</v>
      </c>
      <c r="J10" s="451">
        <f>transport!J54</f>
        <v>0</v>
      </c>
      <c r="K10" s="451">
        <f>transport!K54</f>
        <v>0</v>
      </c>
      <c r="L10" s="451">
        <f>transport!L54</f>
        <v>0</v>
      </c>
      <c r="M10" s="451">
        <f>transport!M54</f>
        <v>119.61493351637333</v>
      </c>
      <c r="N10" s="451">
        <f>transport!N54</f>
        <v>0</v>
      </c>
      <c r="O10" s="451">
        <f>transport!O54</f>
        <v>0</v>
      </c>
      <c r="P10" s="452">
        <f>transport!P54</f>
        <v>0</v>
      </c>
      <c r="Q10" s="450">
        <f t="shared" si="0"/>
        <v>3980.8257820111935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2018.3133299000001</v>
      </c>
      <c r="C14" s="458"/>
      <c r="D14" s="458">
        <f>'SEAP template'!E25</f>
        <v>5817.1035232999993</v>
      </c>
      <c r="E14" s="458"/>
      <c r="F14" s="458"/>
      <c r="G14" s="458"/>
      <c r="H14" s="458"/>
      <c r="I14" s="458"/>
      <c r="J14" s="458"/>
      <c r="K14" s="458"/>
      <c r="L14" s="458"/>
      <c r="M14" s="458"/>
      <c r="N14" s="458"/>
      <c r="O14" s="458"/>
      <c r="P14" s="459"/>
      <c r="Q14" s="450">
        <f t="shared" si="0"/>
        <v>7835.4168531999994</v>
      </c>
    </row>
    <row r="15" spans="1:17" s="460" customFormat="1">
      <c r="A15" s="1004" t="s">
        <v>557</v>
      </c>
      <c r="B15" s="944">
        <f ca="1">SUM(B4:B14)</f>
        <v>211840.39367156164</v>
      </c>
      <c r="C15" s="944">
        <f t="shared" ref="C15:Q15" ca="1" si="1">SUM(C4:C14)</f>
        <v>8699.4642857142862</v>
      </c>
      <c r="D15" s="944">
        <f t="shared" ca="1" si="1"/>
        <v>280663.99966010998</v>
      </c>
      <c r="E15" s="944">
        <f t="shared" si="1"/>
        <v>28011.211450729679</v>
      </c>
      <c r="F15" s="944">
        <f t="shared" ca="1" si="1"/>
        <v>54865.367592265262</v>
      </c>
      <c r="G15" s="944">
        <f t="shared" si="1"/>
        <v>460663.62771283381</v>
      </c>
      <c r="H15" s="944">
        <f t="shared" si="1"/>
        <v>94229.874598761846</v>
      </c>
      <c r="I15" s="944">
        <f t="shared" si="1"/>
        <v>0</v>
      </c>
      <c r="J15" s="944">
        <f t="shared" si="1"/>
        <v>352.37860242062698</v>
      </c>
      <c r="K15" s="944">
        <f t="shared" si="1"/>
        <v>0</v>
      </c>
      <c r="L15" s="944">
        <f t="shared" ca="1" si="1"/>
        <v>0</v>
      </c>
      <c r="M15" s="944">
        <f t="shared" si="1"/>
        <v>17314.673292567477</v>
      </c>
      <c r="N15" s="944">
        <f t="shared" ca="1" si="1"/>
        <v>24214.665293438611</v>
      </c>
      <c r="O15" s="944">
        <f t="shared" si="1"/>
        <v>211.05</v>
      </c>
      <c r="P15" s="944">
        <f t="shared" si="1"/>
        <v>686.40000000000009</v>
      </c>
      <c r="Q15" s="944">
        <f t="shared" ca="1" si="1"/>
        <v>1181753.1061604035</v>
      </c>
    </row>
    <row r="17" spans="1:17">
      <c r="A17" s="461" t="s">
        <v>558</v>
      </c>
      <c r="B17" s="760">
        <f ca="1">huishoudens!B10</f>
        <v>0.19953291758305541</v>
      </c>
      <c r="C17" s="760">
        <f ca="1">huishoudens!C10</f>
        <v>3.9029786679127591E-2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12249.105459291803</v>
      </c>
      <c r="C22" s="451">
        <f t="shared" ref="C22:C32" ca="1" si="3">C4*$C$17</f>
        <v>0</v>
      </c>
      <c r="D22" s="451">
        <f t="shared" ref="D22:D32" si="4">D4*$D$17</f>
        <v>33302.460463340205</v>
      </c>
      <c r="E22" s="451">
        <f t="shared" ref="E22:E32" si="5">E4*$E$17</f>
        <v>3800.2281299176429</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49351.794052549652</v>
      </c>
    </row>
    <row r="23" spans="1:17">
      <c r="A23" s="450" t="s">
        <v>155</v>
      </c>
      <c r="B23" s="451">
        <f t="shared" ca="1" si="2"/>
        <v>17162.079479646316</v>
      </c>
      <c r="C23" s="451">
        <f t="shared" ca="1" si="3"/>
        <v>55.763807717803545</v>
      </c>
      <c r="D23" s="451">
        <f t="shared" ca="1" si="4"/>
        <v>15292.379683416284</v>
      </c>
      <c r="E23" s="451">
        <f t="shared" si="5"/>
        <v>320.97077625797795</v>
      </c>
      <c r="F23" s="451">
        <f t="shared" ca="1" si="6"/>
        <v>5936.3266685319204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38767.520415570303</v>
      </c>
    </row>
    <row r="24" spans="1:17">
      <c r="A24" s="450" t="s">
        <v>193</v>
      </c>
      <c r="B24" s="451">
        <f t="shared" ca="1" si="2"/>
        <v>577.06935047487218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577.06935047487218</v>
      </c>
    </row>
    <row r="25" spans="1:17">
      <c r="A25" s="450" t="s">
        <v>111</v>
      </c>
      <c r="B25" s="451">
        <f t="shared" ca="1" si="2"/>
        <v>137.56556799251115</v>
      </c>
      <c r="C25" s="451">
        <f t="shared" ca="1" si="3"/>
        <v>283.77442757631411</v>
      </c>
      <c r="D25" s="451">
        <f t="shared" si="4"/>
        <v>553.17800851397089</v>
      </c>
      <c r="E25" s="451">
        <f t="shared" si="5"/>
        <v>4.0355964425681261</v>
      </c>
      <c r="F25" s="451">
        <f t="shared" si="6"/>
        <v>672.84722158419606</v>
      </c>
      <c r="G25" s="451">
        <f t="shared" si="7"/>
        <v>0</v>
      </c>
      <c r="H25" s="451">
        <f t="shared" si="8"/>
        <v>0</v>
      </c>
      <c r="I25" s="451">
        <f t="shared" si="9"/>
        <v>0</v>
      </c>
      <c r="J25" s="451">
        <f t="shared" si="10"/>
        <v>35.135811346402512</v>
      </c>
      <c r="K25" s="451">
        <f t="shared" si="11"/>
        <v>0</v>
      </c>
      <c r="L25" s="451">
        <f t="shared" si="12"/>
        <v>0</v>
      </c>
      <c r="M25" s="451">
        <f t="shared" si="13"/>
        <v>0</v>
      </c>
      <c r="N25" s="451">
        <f t="shared" si="14"/>
        <v>0</v>
      </c>
      <c r="O25" s="451">
        <f t="shared" si="15"/>
        <v>0</v>
      </c>
      <c r="P25" s="452">
        <f t="shared" si="16"/>
        <v>0</v>
      </c>
      <c r="Q25" s="450">
        <f t="shared" ca="1" si="17"/>
        <v>1686.5366334559628</v>
      </c>
    </row>
    <row r="26" spans="1:17">
      <c r="A26" s="450" t="s">
        <v>637</v>
      </c>
      <c r="B26" s="451">
        <f t="shared" ca="1" si="2"/>
        <v>11714.862903723924</v>
      </c>
      <c r="C26" s="451">
        <f t="shared" ca="1" si="3"/>
        <v>0</v>
      </c>
      <c r="D26" s="451">
        <f t="shared" si="4"/>
        <v>6315.8234523079072</v>
      </c>
      <c r="E26" s="451">
        <f t="shared" si="5"/>
        <v>1936.9065643043612</v>
      </c>
      <c r="F26" s="451">
        <f t="shared" si="6"/>
        <v>8039.8792570187097</v>
      </c>
      <c r="G26" s="451">
        <f t="shared" si="7"/>
        <v>0</v>
      </c>
      <c r="H26" s="451">
        <f t="shared" si="8"/>
        <v>0</v>
      </c>
      <c r="I26" s="451">
        <f t="shared" si="9"/>
        <v>0</v>
      </c>
      <c r="J26" s="451">
        <f t="shared" si="10"/>
        <v>89.606213910499434</v>
      </c>
      <c r="K26" s="451">
        <f t="shared" si="11"/>
        <v>0</v>
      </c>
      <c r="L26" s="451">
        <f t="shared" si="12"/>
        <v>0</v>
      </c>
      <c r="M26" s="451">
        <f t="shared" si="13"/>
        <v>0</v>
      </c>
      <c r="N26" s="451">
        <f t="shared" si="14"/>
        <v>0</v>
      </c>
      <c r="O26" s="451">
        <f t="shared" si="15"/>
        <v>0</v>
      </c>
      <c r="P26" s="452">
        <f t="shared" si="16"/>
        <v>0</v>
      </c>
      <c r="Q26" s="450">
        <f t="shared" ca="1" si="17"/>
        <v>28097.078391265401</v>
      </c>
    </row>
    <row r="27" spans="1:17" s="456" customFormat="1">
      <c r="A27" s="454" t="s">
        <v>563</v>
      </c>
      <c r="B27" s="754">
        <f t="shared" ca="1" si="2"/>
        <v>25.729102788572707</v>
      </c>
      <c r="C27" s="455">
        <f t="shared" ca="1" si="3"/>
        <v>0</v>
      </c>
      <c r="D27" s="455">
        <f t="shared" si="4"/>
        <v>55.231412057268031</v>
      </c>
      <c r="E27" s="455">
        <f t="shared" si="5"/>
        <v>296.40393239308844</v>
      </c>
      <c r="F27" s="455">
        <f t="shared" si="6"/>
        <v>0</v>
      </c>
      <c r="G27" s="455">
        <f t="shared" si="7"/>
        <v>121966.24530277851</v>
      </c>
      <c r="H27" s="455">
        <f t="shared" si="8"/>
        <v>23463.238775091701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145806.84852510915</v>
      </c>
    </row>
    <row r="28" spans="1:17">
      <c r="A28" s="450" t="s">
        <v>553</v>
      </c>
      <c r="B28" s="451">
        <f t="shared" ca="1" si="2"/>
        <v>0</v>
      </c>
      <c r="C28" s="451">
        <f t="shared" ca="1" si="3"/>
        <v>0</v>
      </c>
      <c r="D28" s="451">
        <f t="shared" si="4"/>
        <v>0</v>
      </c>
      <c r="E28" s="451">
        <f t="shared" si="5"/>
        <v>0</v>
      </c>
      <c r="F28" s="451">
        <f t="shared" si="6"/>
        <v>0</v>
      </c>
      <c r="G28" s="451">
        <f t="shared" si="7"/>
        <v>1030.9432965481171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1030.9432965481171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402.71994731171884</v>
      </c>
      <c r="C32" s="451">
        <f t="shared" ca="1" si="3"/>
        <v>0</v>
      </c>
      <c r="D32" s="451">
        <f t="shared" si="4"/>
        <v>1175.0549117066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1577.7748590183189</v>
      </c>
    </row>
    <row r="33" spans="1:17" s="460" customFormat="1">
      <c r="A33" s="1004" t="s">
        <v>557</v>
      </c>
      <c r="B33" s="944">
        <f ca="1">SUM(B22:B32)</f>
        <v>42269.131811229716</v>
      </c>
      <c r="C33" s="944">
        <f t="shared" ref="C33:Q33" ca="1" si="18">SUM(C22:C32)</f>
        <v>339.53823529411767</v>
      </c>
      <c r="D33" s="944">
        <f t="shared" ca="1" si="18"/>
        <v>56694.127931342235</v>
      </c>
      <c r="E33" s="944">
        <f t="shared" si="18"/>
        <v>6358.544999315639</v>
      </c>
      <c r="F33" s="944">
        <f t="shared" ca="1" si="18"/>
        <v>14649.053147134826</v>
      </c>
      <c r="G33" s="944">
        <f t="shared" si="18"/>
        <v>122997.18859932662</v>
      </c>
      <c r="H33" s="944">
        <f t="shared" si="18"/>
        <v>23463.238775091701</v>
      </c>
      <c r="I33" s="944">
        <f t="shared" si="18"/>
        <v>0</v>
      </c>
      <c r="J33" s="944">
        <f t="shared" si="18"/>
        <v>124.74202525690194</v>
      </c>
      <c r="K33" s="944">
        <f t="shared" si="18"/>
        <v>0</v>
      </c>
      <c r="L33" s="944">
        <f t="shared" ca="1" si="18"/>
        <v>0</v>
      </c>
      <c r="M33" s="944">
        <f t="shared" si="18"/>
        <v>0</v>
      </c>
      <c r="N33" s="944">
        <f t="shared" ca="1" si="18"/>
        <v>0</v>
      </c>
      <c r="O33" s="944">
        <f t="shared" si="18"/>
        <v>0</v>
      </c>
      <c r="P33" s="944">
        <f t="shared" si="18"/>
        <v>0</v>
      </c>
      <c r="Q33" s="944">
        <f t="shared" ca="1" si="18"/>
        <v>266895.56552399177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9877.5672521250053</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5685.6220234011416</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5089.5</v>
      </c>
      <c r="C8" s="1021">
        <f>'SEAP template'!C76</f>
        <v>1000.1249999999998</v>
      </c>
      <c r="D8" s="1021">
        <f>'SEAP template'!D76</f>
        <v>1176.6176470588234</v>
      </c>
      <c r="E8" s="1021">
        <f>'SEAP template'!E76</f>
        <v>0</v>
      </c>
      <c r="F8" s="1021">
        <f>'SEAP template'!F76</f>
        <v>0</v>
      </c>
      <c r="G8" s="1021">
        <f>'SEAP template'!G76</f>
        <v>0</v>
      </c>
      <c r="H8" s="1021">
        <f>'SEAP template'!H76</f>
        <v>0</v>
      </c>
      <c r="I8" s="1021">
        <f>'SEAP template'!I76</f>
        <v>0</v>
      </c>
      <c r="J8" s="1021">
        <f>'SEAP template'!J76</f>
        <v>5987.6470588235297</v>
      </c>
      <c r="K8" s="1021">
        <f>'SEAP template'!K76</f>
        <v>0</v>
      </c>
      <c r="L8" s="1021">
        <f>'SEAP template'!L76</f>
        <v>0</v>
      </c>
      <c r="M8" s="1021">
        <f>'SEAP template'!M76</f>
        <v>0</v>
      </c>
      <c r="N8" s="1021">
        <f>'SEAP template'!N76</f>
        <v>0</v>
      </c>
      <c r="O8" s="1021">
        <f>'SEAP template'!O76</f>
        <v>0</v>
      </c>
      <c r="P8" s="1022">
        <f>'SEAP template'!Q76</f>
        <v>237.67676470588233</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20652.689275526147</v>
      </c>
      <c r="C10" s="1025">
        <f>SUM(C4:C9)</f>
        <v>1000.1249999999998</v>
      </c>
      <c r="D10" s="1025">
        <f t="shared" ref="D10:H10" si="0">SUM(D8:D9)</f>
        <v>1176.6176470588234</v>
      </c>
      <c r="E10" s="1025">
        <f t="shared" si="0"/>
        <v>0</v>
      </c>
      <c r="F10" s="1025">
        <f t="shared" si="0"/>
        <v>0</v>
      </c>
      <c r="G10" s="1025">
        <f t="shared" si="0"/>
        <v>0</v>
      </c>
      <c r="H10" s="1025">
        <f t="shared" si="0"/>
        <v>0</v>
      </c>
      <c r="I10" s="1025">
        <f>SUM(I8:I9)</f>
        <v>0</v>
      </c>
      <c r="J10" s="1025">
        <f>SUM(J8:J9)</f>
        <v>5987.6470588235297</v>
      </c>
      <c r="K10" s="1025">
        <f t="shared" ref="K10:L10" si="1">SUM(K8:K9)</f>
        <v>0</v>
      </c>
      <c r="L10" s="1025">
        <f t="shared" si="1"/>
        <v>0</v>
      </c>
      <c r="M10" s="1025">
        <f>SUM(M8:M9)</f>
        <v>0</v>
      </c>
      <c r="N10" s="1025">
        <f>SUM(N8:N9)</f>
        <v>0</v>
      </c>
      <c r="O10" s="1025">
        <f>SUM(O8:O9)</f>
        <v>0</v>
      </c>
      <c r="P10" s="1025">
        <f>SUM(P8:P9)</f>
        <v>237.67676470588233</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0.19953291758305541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7270.7142857142862</v>
      </c>
      <c r="C17" s="1027">
        <f>'SEAP template'!C87</f>
        <v>1428.75</v>
      </c>
      <c r="D17" s="1022">
        <f>'SEAP template'!D87</f>
        <v>1680.8823529411766</v>
      </c>
      <c r="E17" s="1022">
        <f>'SEAP template'!E87</f>
        <v>0</v>
      </c>
      <c r="F17" s="1022">
        <f>'SEAP template'!F87</f>
        <v>0</v>
      </c>
      <c r="G17" s="1022">
        <f>'SEAP template'!G87</f>
        <v>0</v>
      </c>
      <c r="H17" s="1022">
        <f>'SEAP template'!H87</f>
        <v>0</v>
      </c>
      <c r="I17" s="1022">
        <f>'SEAP template'!I87</f>
        <v>0</v>
      </c>
      <c r="J17" s="1022">
        <f>'SEAP template'!J87</f>
        <v>8553.7815126050427</v>
      </c>
      <c r="K17" s="1022">
        <f>'SEAP template'!K87</f>
        <v>0</v>
      </c>
      <c r="L17" s="1022">
        <f>'SEAP template'!L87</f>
        <v>0</v>
      </c>
      <c r="M17" s="1022">
        <f>'SEAP template'!M87</f>
        <v>0</v>
      </c>
      <c r="N17" s="1022">
        <f>'SEAP template'!N87</f>
        <v>0</v>
      </c>
      <c r="O17" s="1022">
        <f>'SEAP template'!O87</f>
        <v>0</v>
      </c>
      <c r="P17" s="1022">
        <f>'SEAP template'!Q87</f>
        <v>339.53823529411767</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7270.7142857142862</v>
      </c>
      <c r="C20" s="1025">
        <f>SUM(C17:C19)</f>
        <v>1428.75</v>
      </c>
      <c r="D20" s="1025">
        <f t="shared" ref="D20:H20" si="2">SUM(D17:D19)</f>
        <v>1680.8823529411766</v>
      </c>
      <c r="E20" s="1025">
        <f t="shared" si="2"/>
        <v>0</v>
      </c>
      <c r="F20" s="1025">
        <f t="shared" si="2"/>
        <v>0</v>
      </c>
      <c r="G20" s="1025">
        <f t="shared" si="2"/>
        <v>0</v>
      </c>
      <c r="H20" s="1025">
        <f t="shared" si="2"/>
        <v>0</v>
      </c>
      <c r="I20" s="1025">
        <f>SUM(I17:I19)</f>
        <v>0</v>
      </c>
      <c r="J20" s="1025">
        <f>SUM(J17:J19)</f>
        <v>8553.7815126050427</v>
      </c>
      <c r="K20" s="1025">
        <f t="shared" ref="K20:L20" si="3">SUM(K17:K19)</f>
        <v>0</v>
      </c>
      <c r="L20" s="1025">
        <f t="shared" si="3"/>
        <v>0</v>
      </c>
      <c r="M20" s="1025">
        <f>SUM(M17:M19)</f>
        <v>0</v>
      </c>
      <c r="N20" s="1025">
        <f>SUM(N17:N19)</f>
        <v>0</v>
      </c>
      <c r="O20" s="1025">
        <f>SUM(O17:O19)</f>
        <v>0</v>
      </c>
      <c r="P20" s="1025">
        <f>SUM(P17:P19)</f>
        <v>339.53823529411767</v>
      </c>
    </row>
    <row r="22" spans="1:16">
      <c r="A22" s="461" t="s">
        <v>857</v>
      </c>
      <c r="B22" s="760" t="s">
        <v>851</v>
      </c>
      <c r="C22" s="760">
        <f ca="1">'EF ele_warmte'!B22</f>
        <v>3.9029786679127591E-2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0.19953291758305541</v>
      </c>
      <c r="C17" s="498">
        <f ca="1">'EF ele_warmte'!B22</f>
        <v>3.9029786679127591E-2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2020-06-20T15:52:31Z</dcterms:modified>
</cp:coreProperties>
</file>