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C49" i="18"/>
  <c r="J17" i="18" s="1"/>
  <c r="B49" i="18"/>
  <c r="C17" i="18"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15" i="48" l="1"/>
  <c r="J5" i="48"/>
  <c r="J23" i="48" s="1"/>
  <c r="K10" i="14"/>
  <c r="F10" i="14"/>
  <c r="E5" i="48"/>
  <c r="J20" i="15"/>
  <c r="K40" i="14" s="1"/>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J22" i="16"/>
  <c r="K43" i="14" s="1"/>
  <c r="K46" i="14" s="1"/>
  <c r="K61" i="14" s="1"/>
  <c r="J8" i="48"/>
  <c r="K13" i="14"/>
  <c r="K16" i="14" s="1"/>
  <c r="K27" i="14" s="1"/>
  <c r="E22" i="16"/>
  <c r="F43" i="14" s="1"/>
  <c r="F46" i="14" s="1"/>
  <c r="F61" i="14" s="1"/>
  <c r="F63" i="14" s="1"/>
  <c r="G33" i="48"/>
  <c r="N8" i="48"/>
  <c r="N26" i="48" s="1"/>
  <c r="O13" i="14"/>
  <c r="N22" i="16"/>
  <c r="O43" i="14" s="1"/>
  <c r="G13" i="14"/>
  <c r="F8" i="48"/>
  <c r="R13" i="14" l="1"/>
  <c r="J26" i="48"/>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<sst xmlns="http://schemas.openxmlformats.org/spreadsheetml/2006/main" count="2416" uniqueCount="902">
  <si>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</si>
  <si>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</si>
  <si>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</si>
  <si>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</si>
  <si>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</si>
  <si>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</si>
  <si>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</si>
  <si>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</si>
  <si>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</si>
  <si>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</si>
  <si>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</si>
  <si>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</si>
  <si>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</si>
  <si>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</si>
  <si>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</si>
  <si>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</si>
  <si>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</si>
  <si>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</si>
  <si>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</si>
  <si>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</si>
  <si>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</si>
  <si>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</si>
  <si>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</si>
  <si>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</si>
  <si>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</si>
  <si>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</si>
  <si>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</si>
  <si>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</si>
  <si>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</si>
  <si>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</si>
  <si>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</si>
  <si>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</si>
  <si>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</si>
  <si>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</si>
  <si>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</si>
  <si>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</si>
  <si>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</si>
  <si>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</si>
  <si>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</si>
  <si>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</si>
  <si>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</si>
  <si>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</si>
  <si>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</si>
  <si>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</si>
  <si>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</si>
  <si>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</si>
  <si>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</si>
  <si>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</si>
  <si>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</si>
  <si>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</si>
  <si>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</si>
  <si>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</si>
  <si>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</si>
  <si>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</si>
  <si>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</si>
  <si>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</si>
  <si>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</si>
  <si>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</si>
  <si>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</si>
  <si>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</si>
  <si>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</si>
  <si>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</si>
  <si>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</si>
  <si>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</si>
  <si>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</si>
  <si>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</si>
  <si>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</si>
  <si>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</si>
  <si>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</si>
  <si>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</si>
  <si>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</si>
  <si>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</si>
  <si>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</si>
  <si>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</si>
  <si>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</si>
  <si>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</si>
  <si>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</si>
  <si>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</si>
  <si>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</si>
  <si>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</si>
  <si>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</si>
  <si>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</si>
  <si>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</si>
  <si>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</si>
  <si>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</si>
  <si>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</si>
  <si>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</si>
  <si>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</si>
  <si>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</si>
  <si>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</si>
  <si>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</si>
  <si>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</si>
  <si>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</si>
  <si>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</si>
  <si>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</si>
  <si>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</si>
  <si>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</si>
  <si>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</si>
  <si>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</si>
  <si>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</si>
  <si>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</si>
  <si>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</si>
  <si>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</si>
  <si>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</si>
  <si>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</si>
  <si>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</si>
  <si>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</si>
  <si>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</si>
  <si>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</si>
  <si>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</si>
  <si>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</si>
  <si>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</si>
  <si>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</si>
  <si>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</si>
  <si>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</si>
  <si>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</si>
  <si>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</si>
  <si>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</si>
  <si>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</si>
  <si>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</si>
  <si>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</si>
  <si>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</si>
  <si>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</si>
  <si>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</si>
  <si>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</si>
  <si>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</si>
  <si>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</si>
  <si>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</si>
  <si>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</si>
  <si>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</si>
  <si>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</si>
  <si>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</si>
  <si>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</si>
  <si>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</si>
  <si>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</si>
  <si>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</si>
  <si>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</si>
  <si>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</si>
  <si>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</si>
  <si>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</si>
  <si>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</si>
  <si>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</si>
  <si>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</si>
  <si>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</si>
  <si>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</si>
  <si>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</si>
  <si>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</si>
  <si>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</si>
  <si>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</si>
  <si>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</si>
  <si>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</si>
  <si>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</si>
  <si>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</si>
  <si>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</si>
  <si>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</si>
  <si>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</si>
  <si>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</si>
  <si>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</si>
  <si>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</si>
  <si>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</si>
  <si>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</si>
  <si>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</si>
  <si>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</si>
  <si>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</si>
  <si>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</si>
  <si>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</si>
  <si>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</si>
  <si>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</si>
  <si>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</si>
  <si>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</si>
  <si>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</si>
  <si>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</si>
  <si>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</si>
  <si>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</si>
  <si>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</si>
  <si>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</si>
  <si>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</si>
  <si>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</si>
  <si>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</si>
  <si>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</si>
  <si>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</si>
  <si>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</si>
  <si>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</si>
  <si>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</si>
  <si>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</si>
  <si>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</si>
  <si>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</si>
  <si>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</si>
  <si>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</si>
  <si>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</si>
  <si>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</si>
  <si>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</si>
  <si>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</si>
  <si>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</si>
  <si>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</si>
  <si>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</si>
  <si>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</si>
  <si>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</si>
  <si>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</si>
  <si>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</si>
  <si>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</si>
  <si>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</si>
  <si>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</si>
  <si>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</si>
  <si>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</si>
  <si>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</si>
  <si>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</si>
  <si>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</si>
  <si>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</si>
  <si>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</si>
  <si>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</si>
  <si>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</si>
  <si>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</si>
  <si>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</si>
  <si>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</si>
  <si>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</si>
  <si>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</si>
  <si>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</si>
  <si>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</si>
  <si>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</si>
  <si>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</si>
  <si>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</si>
  <si>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</si>
  <si>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</si>
  <si>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</si>
  <si>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</si>
  <si>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</si>
  <si>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</si>
  <si>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</si>
  <si>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</si>
  <si>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</si>
  <si>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</si>
  <si>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</si>
  <si>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</si>
  <si>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</si>
  <si>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</si>
  <si>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</si>
  <si>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</si>
  <si>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</si>
  <si>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</si>
  <si>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</si>
  <si>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</si>
  <si>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</si>
  <si>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</si>
  <si>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</si>
  <si>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</si>
  <si>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</si>
  <si>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</si>
  <si>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</si>
  <si>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</si>
  <si>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</si>
  <si>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</si>
  <si>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</si>
  <si>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</si>
  <si>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</si>
  <si>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</si>
  <si>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</si>
  <si>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</si>
  <si>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</si>
  <si>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</si>
  <si>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</si>
  <si>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</si>
  <si>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</si>
  <si>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</si>
  <si>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</si>
  <si>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</si>
  <si>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</si>
  <si>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</si>
  <si>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</si>
  <si>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</si>
  <si>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</si>
  <si>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</si>
  <si>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</si>
  <si>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</si>
  <si>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</si>
  <si>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</si>
  <si>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</si>
  <si>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</si>
  <si>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</si>
  <si>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</si>
  <si>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</si>
  <si>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</si>
  <si>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</si>
  <si>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</si>
  <si>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</si>
  <si>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</si>
  <si>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</si>
  <si>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</si>
  <si>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</si>
  <si>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</si>
  <si>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</si>
  <si>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</si>
  <si>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</si>
  <si>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</si>
  <si>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</si>
  <si>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</si>
  <si>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</si>
  <si>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</si>
  <si>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</si>
  <si>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</si>
  <si>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</si>
  <si>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</si>
  <si>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</si>
  <si>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</si>
  <si>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</si>
  <si>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</si>
  <si>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</si>
  <si>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</si>
  <si>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</si>
  <si>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</si>
  <si>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</si>
  <si>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</si>
  <si>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</si>
  <si>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</si>
  <si>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</si>
  <si>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</si>
  <si>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</si>
  <si>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</si>
  <si>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</si>
  <si>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</si>
  <si>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</si>
  <si>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</si>
  <si>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</si>
  <si>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</si>
  <si>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</si>
  <si>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</si>
  <si>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</si>
  <si>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</si>
  <si>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</si>
  <si>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</si>
  <si>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</si>
  <si>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</si>
  <si>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</si>
  <si>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</si>
  <si>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</si>
  <si>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</si>
  <si>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</si>
  <si>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</si>
  <si>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</si>
  <si>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</si>
  <si>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</si>
  <si>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</si>
  <si>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</si>
  <si>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</si>
  <si>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</si>
  <si>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</si>
  <si>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</si>
  <si>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</si>
  <si>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</si>
  <si>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</si>
  <si>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</si>
  <si>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</si>
  <si>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</si>
  <si>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</si>
  <si>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</si>
  <si>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</si>
  <si>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</si>
  <si>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</si>
  <si>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</si>
  <si>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</si>
  <si>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</si>
  <si>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</si>
  <si>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</si>
  <si>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</si>
  <si>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</si>
  <si>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</si>
  <si>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</si>
  <si>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</si>
  <si>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</si>
  <si>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</si>
  <si>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</si>
  <si>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</si>
  <si>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</si>
  <si>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</si>
  <si>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</si>
  <si>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</si>
  <si>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</si>
  <si>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</si>
  <si>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</si>
  <si>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</si>
  <si>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</si>
  <si>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</si>
  <si>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</si>
  <si>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</si>
  <si>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</si>
  <si>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</si>
  <si>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</si>
  <si>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</si>
  <si>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</si>
  <si>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</si>
  <si>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</si>
  <si>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</si>
  <si>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</si>
  <si>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</si>
  <si>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</si>
  <si>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</si>
  <si>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</si>
  <si>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</si>
  <si>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</si>
  <si>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</si>
  <si>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</si>
  <si>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</si>
  <si>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</si>
  <si>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</si>
  <si>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</si>
  <si>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</si>
  <si>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</si>
  <si>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</si>
  <si>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</si>
  <si>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</si>
  <si>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</si>
  <si>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</si>
  <si>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</si>
  <si>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</si>
  <si>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</si>
  <si>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</si>
  <si>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</si>
  <si>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</si>
  <si>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</si>
  <si>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</si>
  <si>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</si>
  <si>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</si>
  <si>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</si>
  <si>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</si>
  <si>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</si>
  <si>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</si>
  <si>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</si>
  <si>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</si>
  <si>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</si>
  <si>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</si>
  <si>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</si>
  <si>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</si>
  <si>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</si>
  <si>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</si>
  <si>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</si>
  <si>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</si>
  <si>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</si>
  <si>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</si>
  <si>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</si>
  <si>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</si>
  <si>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</si>
  <si>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</si>
  <si>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</si>
  <si>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</si>
  <si>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</si>
  <si>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</si>
  <si>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</si>
  <si>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</si>
  <si>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</si>
  <si>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</si>
  <si>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</si>
  <si>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</si>
  <si>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</si>
  <si>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</si>
  <si>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</si>
  <si>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</si>
  <si>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</si>
  <si>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</si>
  <si>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</si>
  <si>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</si>
  <si>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</si>
  <si>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</si>
  <si>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</si>
  <si>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</si>
  <si>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</si>
  <si>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</si>
  <si>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</si>
  <si>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</si>
  <si>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</si>
  <si>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</si>
  <si>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</si>
  <si>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</si>
  <si>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</si>
  <si>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</si>
  <si>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</si>
  <si>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</si>
  <si>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</si>
  <si>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</si>
  <si>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</si>
  <si>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</si>
  <si>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</si>
  <si>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</si>
  <si>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</si>
  <si>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</si>
  <si>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</si>
  <si>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</si>
  <si>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</si>
  <si>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</si>
  <si>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</si>
  <si>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</si>
  <si>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</si>
  <si>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</si>
  <si>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</si>
  <si>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</si>
  <si>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</si>
  <si>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</si>
  <si>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</si>
  <si>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</si>
  <si>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</si>
  <si>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</si>
  <si>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</si>
  <si>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</si>
  <si>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</si>
  <si>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</si>
  <si>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</si>
  <si>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</si>
  <si>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</si>
  <si>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</si>
  <si>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</si>
  <si>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</si>
  <si>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</si>
  <si>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</si>
  <si>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</si>
  <si>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</si>
  <si>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</si>
  <si>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</si>
  <si>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</si>
  <si>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</si>
  <si>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</si>
  <si>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</si>
  <si>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</si>
  <si>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</si>
  <si>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</si>
  <si>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</si>
  <si>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</si>
  <si>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</si>
  <si>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</si>
  <si>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</si>
  <si>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</si>
  <si>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</si>
  <si>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</si>
  <si>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</si>
  <si>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</si>
  <si>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</si>
  <si>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</si>
  <si>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</si>
  <si>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</si>
  <si>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</si>
  <si>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</si>
  <si>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</si>
  <si>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</si>
  <si>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</si>
  <si>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</si>
  <si>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</si>
  <si>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</si>
  <si>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</si>
  <si>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</si>
  <si>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</si>
  <si>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</si>
  <si>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</si>
  <si>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</si>
  <si>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</si>
  <si>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</si>
  <si>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</si>
  <si>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</si>
  <si>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</si>
  <si>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</si>
  <si>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</si>
  <si>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</si>
  <si>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</si>
  <si>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</si>
  <si>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</si>
  <si>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</si>
  <si>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</si>
  <si>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</si>
  <si>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</si>
  <si>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</si>
  <si>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</si>
  <si>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</si>
  <si>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</si>
  <si>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</si>
  <si>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</si>
  <si>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</si>
  <si>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</si>
  <si>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</si>
  <si>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</si>
  <si>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</si>
  <si>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</si>
  <si>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</si>
  <si>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</si>
  <si>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</si>
  <si>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</si>
  <si>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</si>
  <si>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</si>
  <si>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</si>
  <si>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</si>
  <si>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</si>
  <si>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</si>
  <si>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</si>
  <si>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</si>
  <si>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</si>
  <si>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</si>
  <si>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</si>
  <si>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</si>
  <si>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</si>
  <si>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</si>
  <si>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</si>
  <si>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</si>
  <si>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</si>
  <si>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</si>
  <si>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</si>
  <si>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</si>
  <si>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</si>
  <si>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</si>
  <si>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</si>
  <si>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</si>
  <si>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</si>
  <si>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</si>
  <si>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</si>
  <si>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</si>
  <si>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</si>
  <si>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</si>
  <si>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</si>
  <si>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</si>
  <si>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</si>
  <si>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</si>
  <si>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</si>
  <si>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</si>
  <si>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</si>
  <si>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</si>
  <si>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</si>
  <si>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</si>
  <si>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</si>
  <si>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</si>
  <si>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</si>
  <si>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</si>
  <si>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</si>
  <si>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</si>
  <si>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</si>
  <si>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</si>
  <si>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</si>
  <si>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</si>
  <si>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</si>
  <si>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</si>
  <si>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</si>
  <si>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</si>
  <si>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</si>
  <si>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</si>
  <si>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</si>
  <si>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</si>
  <si>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</si>
  <si>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</si>
  <si>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</si>
  <si>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</si>
  <si>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</si>
  <si>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</si>
  <si>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</si>
  <si>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</si>
  <si>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</si>
  <si>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</si>
  <si>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</si>
  <si>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</si>
  <si>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</si>
  <si>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</si>
  <si>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</si>
  <si>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</si>
  <si>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</si>
  <si>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</si>
  <si>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</si>
  <si>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</si>
  <si>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</si>
  <si>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</si>
  <si>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</si>
  <si>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</si>
  <si>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</si>
  <si>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</si>
  <si>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</si>
  <si>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</si>
  <si>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</si>
  <si>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</si>
  <si>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</si>
  <si>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</si>
  <si>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</si>
  <si>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</si>
  <si>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</si>
  <si>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</si>
  <si>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</si>
  <si>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</si>
  <si>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</si>
  <si>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</si>
  <si>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</si>
  <si>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</si>
  <si>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</si>
  <si>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</si>
  <si>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</si>
  <si>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</si>
  <si>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</si>
  <si>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</si>
  <si>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</si>
  <si>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</si>
  <si>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</si>
  <si>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</si>
  <si>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</si>
  <si>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</si>
  <si>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</si>
  <si>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</si>
  <si>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</si>
  <si>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</si>
  <si>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</si>
  <si>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</si>
  <si>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</si>
  <si>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</si>
  <si>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</si>
  <si>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</si>
  <si>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</si>
  <si>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</si>
  <si>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</si>
  <si>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</si>
  <si>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</si>
  <si>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</si>
  <si>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</si>
  <si>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</si>
  <si>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</si>
  <si>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</si>
  <si>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</si>
  <si>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</si>
  <si>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</si>
  <si>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</si>
  <si>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</si>
  <si>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</si>
  <si>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</si>
  <si>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</si>
  <si>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</si>
  <si>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</si>
  <si>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</si>
  <si>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</si>
  <si>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</si>
  <si>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</si>
  <si>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</si>
  <si>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</si>
  <si>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</si>
  <si>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</si>
  <si>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</si>
  <si>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</si>
  <si>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</si>
  <si>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</si>
  <si>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</si>
  <si>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</si>
  <si>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</si>
  <si>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</si>
  <si>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</si>
  <si>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</si>
  <si>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</si>
  <si>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</si>
  <si>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</si>
  <si>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</si>
  <si>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</si>
  <si>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</si>
  <si>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</si>
  <si>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</si>
  <si>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</si>
  <si>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</si>
  <si>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</si>
  <si>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</si>
  <si>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</si>
  <si>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</si>
  <si>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</si>
  <si>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</si>
  <si>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</si>
  <si>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</si>
  <si>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</si>
  <si>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</si>
  <si>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</si>
  <si>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</si>
  <si>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</si>
  <si>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</si>
  <si>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</si>
  <si>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</si>
  <si>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</si>
  <si>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</si>
  <si>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</si>
  <si>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</si>
  <si>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</si>
  <si>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</si>
  <si>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</si>
  <si>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</si>
  <si>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</si>
  <si>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</si>
  <si>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</si>
  <si>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</si>
  <si>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</si>
  <si>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</si>
  <si>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</si>
  <si>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</si>
  <si>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</si>
  <si>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</si>
  <si>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</si>
  <si>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</si>
  <si>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</si>
  <si>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</si>
  <si>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</si>
  <si>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</si>
  <si>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</si>
  <si>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</si>
  <si>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</si>
  <si>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</si>
  <si>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</si>
  <si>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</si>
  <si>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</si>
  <si>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</si>
  <si>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</si>
  <si>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</si>
  <si>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</si>
  <si>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</si>
  <si>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</si>
  <si>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</si>
  <si>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</si>
  <si>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</si>
  <si>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</si>
  <si>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</si>
  <si>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</si>
  <si>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</si>
  <si>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</si>
  <si>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</si>
  <si>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</si>
  <si>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</si>
  <si>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</si>
  <si>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</si>
  <si>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</si>
  <si>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</si>
  <si>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</si>
  <si>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</si>
  <si>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</si>
  <si>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</si>
  <si>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</si>
  <si>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</si>
  <si>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</si>
  <si>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</si>
  <si>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</si>
  <si>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</si>
  <si>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</si>
  <si>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</si>
  <si>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</si>
  <si>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</si>
  <si>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</si>
  <si>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</si>
  <si>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</si>
  <si>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</si>
  <si>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</si>
  <si>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</si>
  <si>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</si>
  <si>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</si>
  <si>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</si>
  <si>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</si>
  <si>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</si>
  <si>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</si>
  <si>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</si>
  <si>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</si>
  <si>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</si>
  <si>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</si>
  <si>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</si>
  <si>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</si>
  <si>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</si>
  <si>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</si>
  <si>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</si>
  <si>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</si>
  <si>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</si>
  <si>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</si>
  <si>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</si>
  <si>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</si>
  <si>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</si>
  <si>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</si>
  <si>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</si>
  <si>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</si>
  <si>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</si>
  <si>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</si>
  <si>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</si>
  <si>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</si>
  <si>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</si>
  <si>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</si>
  <si>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</si>
  <si>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</si>
  <si>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</si>
  <si>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</si>
  <si>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</si>
  <si>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</si>
  <si>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</si>
  <si>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</si>
  <si>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</si>
  <si>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</si>
  <si>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</si>
  <si>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</si>
  <si>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</si>
  <si>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</si>
  <si>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</si>
  <si>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</si>
  <si>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</si>
  <si>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</si>
  <si>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</si>
  <si>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</si>
  <si>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13025</t>
  </si>
  <si>
    <t>MOL</t>
  </si>
  <si>
    <t>Paarden&amp;pony's 200 - 600 kg</t>
  </si>
  <si>
    <t>Paarden&amp;pony's &lt; 200 kg</t>
  </si>
  <si>
    <t>Fluvius</t>
  </si>
  <si>
    <t>referentietaak LNE (2017); Jaarverslag De Lijn</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</si>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</sst>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301968.0080436393</c:v>
                </c:pt>
                <c:pt idx="1">
                  <c:v>201590.56260875298</c:v>
                </c:pt>
                <c:pt idx="2">
                  <c:v>1411.37</c:v>
                </c:pt>
                <c:pt idx="3">
                  <c:v>6113.7772733340444</c:v>
                </c:pt>
                <c:pt idx="4">
                  <c:v>110826.29057883623</c:v>
                </c:pt>
                <c:pt idx="5">
                  <c:v>265242.1468717386</c:v>
                </c:pt>
                <c:pt idx="6">
                  <c:v>2845.6310842162238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301968.0080436393</c:v>
                </c:pt>
                <c:pt idx="1">
                  <c:v>201590.56260875298</c:v>
                </c:pt>
                <c:pt idx="2">
                  <c:v>1411.37</c:v>
                </c:pt>
                <c:pt idx="3">
                  <c:v>6113.7772733340444</c:v>
                </c:pt>
                <c:pt idx="4">
                  <c:v>110826.29057883623</c:v>
                </c:pt>
                <c:pt idx="5">
                  <c:v>265242.1468717386</c:v>
                </c:pt>
                <c:pt idx="6">
                  <c:v>2845.6310842162238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56837.251300041964</c:v>
                </c:pt>
                <c:pt idx="2">
                  <c:v>41087.604146527585</c:v>
                </c:pt>
                <c:pt idx="3">
                  <c:v>291.55614406445375</c:v>
                </c:pt>
                <c:pt idx="4">
                  <c:v>1562.1919577012775</c:v>
                </c:pt>
                <c:pt idx="5">
                  <c:v>23290.243099354546</c:v>
                </c:pt>
                <c:pt idx="6">
                  <c:v>67977.001287758001</c:v>
                </c:pt>
                <c:pt idx="7">
                  <c:v>736.95370040522334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56837.251300041964</c:v>
                </c:pt>
                <c:pt idx="2">
                  <c:v>41087.604146527585</c:v>
                </c:pt>
                <c:pt idx="3">
                  <c:v>291.55614406445375</c:v>
                </c:pt>
                <c:pt idx="4">
                  <c:v>1562.1919577012775</c:v>
                </c:pt>
                <c:pt idx="5">
                  <c:v>23290.243099354546</c:v>
                </c:pt>
                <c:pt idx="6">
                  <c:v>67977.001287758001</c:v>
                </c:pt>
                <c:pt idx="7">
                  <c:v>736.95370040522334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13025</v>
      </c>
      <c r="B6" s="390"/>
      <c r="C6" s="391"/>
    </row>
    <row r="7" spans="1:7" s="388" customFormat="1" ht="15.75" customHeight="1">
      <c r="A7" s="392" t="str">
        <f>txtMunicipality</f>
        <v>MOL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75171.403101599994</v>
      </c>
      <c r="D10" s="978">
        <f ca="1">tertiair!C16</f>
        <v>35.357142857142861</v>
      </c>
      <c r="E10" s="978">
        <f ca="1">tertiair!D16</f>
        <v>100036.12390437191</v>
      </c>
      <c r="F10" s="978">
        <f>tertiair!E16</f>
        <v>1321.5918897202789</v>
      </c>
      <c r="G10" s="978">
        <f ca="1">tertiair!F16</f>
        <v>19980.523176057628</v>
      </c>
      <c r="H10" s="978">
        <f>tertiair!G16</f>
        <v>0</v>
      </c>
      <c r="I10" s="978">
        <f>tertiair!H16</f>
        <v>0</v>
      </c>
      <c r="J10" s="978">
        <f>tertiair!I16</f>
        <v>0</v>
      </c>
      <c r="K10" s="978">
        <f>tertiair!J16</f>
        <v>0</v>
      </c>
      <c r="L10" s="978">
        <f>tertiair!K16</f>
        <v>0</v>
      </c>
      <c r="M10" s="978">
        <f ca="1">tertiair!L16</f>
        <v>0</v>
      </c>
      <c r="N10" s="978">
        <f>tertiair!M16</f>
        <v>0</v>
      </c>
      <c r="O10" s="978">
        <f ca="1">tertiair!N16</f>
        <v>6431.613394146023</v>
      </c>
      <c r="P10" s="978">
        <f>tertiair!O16</f>
        <v>6.2533333333333339</v>
      </c>
      <c r="Q10" s="979">
        <f>tertiair!P16</f>
        <v>19.066666666666666</v>
      </c>
      <c r="R10" s="674">
        <f ca="1">SUM(C10:Q10)</f>
        <v>203001.93260875298</v>
      </c>
      <c r="S10" s="67"/>
    </row>
    <row r="11" spans="1:19" s="447" customFormat="1">
      <c r="A11" s="783" t="s">
        <v>224</v>
      </c>
      <c r="B11" s="788"/>
      <c r="C11" s="978">
        <f>huishoudens!B8</f>
        <v>62468.857433203899</v>
      </c>
      <c r="D11" s="978">
        <f>huishoudens!C8</f>
        <v>0</v>
      </c>
      <c r="E11" s="978">
        <f>huishoudens!D8</f>
        <v>125415.18137808</v>
      </c>
      <c r="F11" s="978">
        <f>huishoudens!E8</f>
        <v>23877.555515585504</v>
      </c>
      <c r="G11" s="978">
        <f>huishoudens!F8</f>
        <v>49357.939005052169</v>
      </c>
      <c r="H11" s="978">
        <f>huishoudens!G8</f>
        <v>0</v>
      </c>
      <c r="I11" s="978">
        <f>huishoudens!H8</f>
        <v>0</v>
      </c>
      <c r="J11" s="978">
        <f>huishoudens!I8</f>
        <v>0</v>
      </c>
      <c r="K11" s="978">
        <f>huishoudens!J8</f>
        <v>0</v>
      </c>
      <c r="L11" s="978">
        <f>huishoudens!K8</f>
        <v>0</v>
      </c>
      <c r="M11" s="978">
        <f>huishoudens!L8</f>
        <v>0</v>
      </c>
      <c r="N11" s="978">
        <f>huishoudens!M8</f>
        <v>0</v>
      </c>
      <c r="O11" s="978">
        <f>huishoudens!N8</f>
        <v>37654.108045051093</v>
      </c>
      <c r="P11" s="978">
        <f>huishoudens!O8</f>
        <v>734.76666666666665</v>
      </c>
      <c r="Q11" s="979">
        <f>huishoudens!P8</f>
        <v>2459.6</v>
      </c>
      <c r="R11" s="674">
        <f>SUM(C11:Q11)</f>
        <v>301968.0080436393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64971.684437950702</v>
      </c>
      <c r="D13" s="978">
        <f>industrie!C18</f>
        <v>0</v>
      </c>
      <c r="E13" s="978">
        <f>industrie!D18</f>
        <v>17209.452915299698</v>
      </c>
      <c r="F13" s="978">
        <f>industrie!E18</f>
        <v>4961.3790619243964</v>
      </c>
      <c r="G13" s="978">
        <f>industrie!F18</f>
        <v>19117.358021653381</v>
      </c>
      <c r="H13" s="978">
        <f>industrie!G18</f>
        <v>0</v>
      </c>
      <c r="I13" s="978">
        <f>industrie!H18</f>
        <v>0</v>
      </c>
      <c r="J13" s="978">
        <f>industrie!I18</f>
        <v>0</v>
      </c>
      <c r="K13" s="978">
        <f>industrie!J18</f>
        <v>456.86555398410991</v>
      </c>
      <c r="L13" s="978">
        <f>industrie!K18</f>
        <v>0</v>
      </c>
      <c r="M13" s="978">
        <f>industrie!L18</f>
        <v>0</v>
      </c>
      <c r="N13" s="978">
        <f>industrie!M18</f>
        <v>0</v>
      </c>
      <c r="O13" s="978">
        <f>industrie!N18</f>
        <v>4109.5505880239225</v>
      </c>
      <c r="P13" s="978">
        <f>industrie!O18</f>
        <v>0</v>
      </c>
      <c r="Q13" s="979">
        <f>industrie!P18</f>
        <v>0</v>
      </c>
      <c r="R13" s="674">
        <f>SUM(C13:Q13)</f>
        <v>110826.29057883623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202611.9449727546</v>
      </c>
      <c r="D16" s="706">
        <f t="shared" ref="D16:R16" ca="1" si="0">SUM(D9:D15)</f>
        <v>35.357142857142861</v>
      </c>
      <c r="E16" s="706">
        <f t="shared" ca="1" si="0"/>
        <v>242660.75819775159</v>
      </c>
      <c r="F16" s="706">
        <f t="shared" si="0"/>
        <v>30160.526467230178</v>
      </c>
      <c r="G16" s="706">
        <f t="shared" ca="1" si="0"/>
        <v>88455.820202763163</v>
      </c>
      <c r="H16" s="706">
        <f t="shared" si="0"/>
        <v>0</v>
      </c>
      <c r="I16" s="706">
        <f t="shared" si="0"/>
        <v>0</v>
      </c>
      <c r="J16" s="706">
        <f t="shared" si="0"/>
        <v>0</v>
      </c>
      <c r="K16" s="706">
        <f t="shared" si="0"/>
        <v>456.86555398410991</v>
      </c>
      <c r="L16" s="706">
        <f t="shared" si="0"/>
        <v>0</v>
      </c>
      <c r="M16" s="706">
        <f t="shared" ca="1" si="0"/>
        <v>0</v>
      </c>
      <c r="N16" s="706">
        <f t="shared" si="0"/>
        <v>0</v>
      </c>
      <c r="O16" s="706">
        <f t="shared" ca="1" si="0"/>
        <v>48195.272027221035</v>
      </c>
      <c r="P16" s="706">
        <f t="shared" si="0"/>
        <v>741.02</v>
      </c>
      <c r="Q16" s="706">
        <f t="shared" si="0"/>
        <v>2478.6666666666665</v>
      </c>
      <c r="R16" s="706">
        <f t="shared" ca="1" si="0"/>
        <v>615796.23123122845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2760.1262187461548</v>
      </c>
      <c r="I19" s="978">
        <f>transport!H54</f>
        <v>0</v>
      </c>
      <c r="J19" s="978">
        <f>transport!I54</f>
        <v>0</v>
      </c>
      <c r="K19" s="978">
        <f>transport!J54</f>
        <v>0</v>
      </c>
      <c r="L19" s="978">
        <f>transport!K54</f>
        <v>0</v>
      </c>
      <c r="M19" s="978">
        <f>transport!L54</f>
        <v>0</v>
      </c>
      <c r="N19" s="978">
        <f>transport!M54</f>
        <v>85.504865470068907</v>
      </c>
      <c r="O19" s="978">
        <f>transport!N54</f>
        <v>0</v>
      </c>
      <c r="P19" s="978">
        <f>transport!O54</f>
        <v>0</v>
      </c>
      <c r="Q19" s="979">
        <f>transport!P54</f>
        <v>0</v>
      </c>
      <c r="R19" s="674">
        <f>SUM(C19:Q19)</f>
        <v>2845.6310842162238</v>
      </c>
      <c r="S19" s="67"/>
    </row>
    <row r="20" spans="1:19" s="447" customFormat="1">
      <c r="A20" s="783" t="s">
        <v>306</v>
      </c>
      <c r="B20" s="788"/>
      <c r="C20" s="978">
        <f>transport!B14</f>
        <v>53.209199207777608</v>
      </c>
      <c r="D20" s="978">
        <f>transport!C14</f>
        <v>0</v>
      </c>
      <c r="E20" s="978">
        <f>transport!D14</f>
        <v>108.87274560770996</v>
      </c>
      <c r="F20" s="978">
        <f>transport!E14</f>
        <v>502.88750715725666</v>
      </c>
      <c r="G20" s="978">
        <f>transport!F14</f>
        <v>0</v>
      </c>
      <c r="H20" s="978">
        <f>transport!G14</f>
        <v>219226.15473095354</v>
      </c>
      <c r="I20" s="978">
        <f>transport!H14</f>
        <v>37335.25476130368</v>
      </c>
      <c r="J20" s="978">
        <f>transport!I14</f>
        <v>0</v>
      </c>
      <c r="K20" s="978">
        <f>transport!J14</f>
        <v>0</v>
      </c>
      <c r="L20" s="978">
        <f>transport!K14</f>
        <v>0</v>
      </c>
      <c r="M20" s="978">
        <f>transport!L14</f>
        <v>0</v>
      </c>
      <c r="N20" s="978">
        <f>transport!M14</f>
        <v>8015.7679275086193</v>
      </c>
      <c r="O20" s="978">
        <f>transport!N14</f>
        <v>0</v>
      </c>
      <c r="P20" s="978">
        <f>transport!O14</f>
        <v>0</v>
      </c>
      <c r="Q20" s="979">
        <f>transport!P14</f>
        <v>0</v>
      </c>
      <c r="R20" s="674">
        <f>SUM(C20:Q20)</f>
        <v>265242.1468717386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53.209199207777608</v>
      </c>
      <c r="D22" s="786">
        <f t="shared" ref="D22:R22" si="1">SUM(D18:D21)</f>
        <v>0</v>
      </c>
      <c r="E22" s="786">
        <f t="shared" si="1"/>
        <v>108.87274560770996</v>
      </c>
      <c r="F22" s="786">
        <f t="shared" si="1"/>
        <v>502.88750715725666</v>
      </c>
      <c r="G22" s="786">
        <f t="shared" si="1"/>
        <v>0</v>
      </c>
      <c r="H22" s="786">
        <f t="shared" si="1"/>
        <v>221986.28094969969</v>
      </c>
      <c r="I22" s="786">
        <f t="shared" si="1"/>
        <v>37335.25476130368</v>
      </c>
      <c r="J22" s="786">
        <f t="shared" si="1"/>
        <v>0</v>
      </c>
      <c r="K22" s="786">
        <f t="shared" si="1"/>
        <v>0</v>
      </c>
      <c r="L22" s="786">
        <f t="shared" si="1"/>
        <v>0</v>
      </c>
      <c r="M22" s="786">
        <f t="shared" si="1"/>
        <v>0</v>
      </c>
      <c r="N22" s="786">
        <f t="shared" si="1"/>
        <v>8101.2727929786879</v>
      </c>
      <c r="O22" s="786">
        <f t="shared" si="1"/>
        <v>0</v>
      </c>
      <c r="P22" s="786">
        <f t="shared" si="1"/>
        <v>0</v>
      </c>
      <c r="Q22" s="786">
        <f t="shared" si="1"/>
        <v>0</v>
      </c>
      <c r="R22" s="786">
        <f t="shared" si="1"/>
        <v>268087.77795595484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1236.1915799000001</v>
      </c>
      <c r="D24" s="978">
        <f>+landbouw!C8</f>
        <v>0</v>
      </c>
      <c r="E24" s="978">
        <f>+landbouw!D8</f>
        <v>149.22730108066</v>
      </c>
      <c r="F24" s="978">
        <f>+landbouw!E8</f>
        <v>31.876634418711177</v>
      </c>
      <c r="G24" s="978">
        <f>+landbouw!F8</f>
        <v>4518.5156457848007</v>
      </c>
      <c r="H24" s="978">
        <f>+landbouw!G8</f>
        <v>0</v>
      </c>
      <c r="I24" s="978">
        <f>+landbouw!H8</f>
        <v>0</v>
      </c>
      <c r="J24" s="978">
        <f>+landbouw!I8</f>
        <v>0</v>
      </c>
      <c r="K24" s="978">
        <f>+landbouw!J8</f>
        <v>177.96611214987234</v>
      </c>
      <c r="L24" s="978">
        <f>+landbouw!K8</f>
        <v>0</v>
      </c>
      <c r="M24" s="978">
        <f>+landbouw!L8</f>
        <v>0</v>
      </c>
      <c r="N24" s="978">
        <f>+landbouw!M8</f>
        <v>0</v>
      </c>
      <c r="O24" s="978">
        <f>+landbouw!N8</f>
        <v>0</v>
      </c>
      <c r="P24" s="978">
        <f>+landbouw!O8</f>
        <v>0</v>
      </c>
      <c r="Q24" s="979">
        <f>+landbouw!P8</f>
        <v>0</v>
      </c>
      <c r="R24" s="674">
        <f>SUM(C24:Q24)</f>
        <v>6113.7772733340444</v>
      </c>
      <c r="S24" s="67"/>
    </row>
    <row r="25" spans="1:19" s="447" customFormat="1" ht="15" thickBot="1">
      <c r="A25" s="805" t="s">
        <v>834</v>
      </c>
      <c r="B25" s="981"/>
      <c r="C25" s="982">
        <f>IF(Onbekend_ele_kWh="---",0,Onbekend_ele_kWh)/1000+IF(REST_rest_ele_kWh="---",0,REST_rest_ele_kWh)/1000</f>
        <v>3973.0156508999999</v>
      </c>
      <c r="D25" s="982"/>
      <c r="E25" s="982">
        <f>IF(onbekend_gas_kWh="---",0,onbekend_gas_kWh)/1000+IF(REST_rest_gas_kWh="---",0,REST_rest_gas_kWh)/1000</f>
        <v>6267.9826259000001</v>
      </c>
      <c r="F25" s="982"/>
      <c r="G25" s="982"/>
      <c r="H25" s="982"/>
      <c r="I25" s="982"/>
      <c r="J25" s="982"/>
      <c r="K25" s="982"/>
      <c r="L25" s="982"/>
      <c r="M25" s="982"/>
      <c r="N25" s="982"/>
      <c r="O25" s="982"/>
      <c r="P25" s="982"/>
      <c r="Q25" s="983"/>
      <c r="R25" s="674">
        <f>SUM(C25:Q25)</f>
        <v>10240.998276800001</v>
      </c>
      <c r="S25" s="67"/>
    </row>
    <row r="26" spans="1:19" s="447" customFormat="1" ht="15.75" thickBot="1">
      <c r="A26" s="679" t="s">
        <v>835</v>
      </c>
      <c r="B26" s="791"/>
      <c r="C26" s="786">
        <f>SUM(C24:C25)</f>
        <v>5209.2072307999997</v>
      </c>
      <c r="D26" s="786">
        <f t="shared" ref="D26:R26" si="2">SUM(D24:D25)</f>
        <v>0</v>
      </c>
      <c r="E26" s="786">
        <f t="shared" si="2"/>
        <v>6417.2099269806604</v>
      </c>
      <c r="F26" s="786">
        <f t="shared" si="2"/>
        <v>31.876634418711177</v>
      </c>
      <c r="G26" s="786">
        <f t="shared" si="2"/>
        <v>4518.5156457848007</v>
      </c>
      <c r="H26" s="786">
        <f t="shared" si="2"/>
        <v>0</v>
      </c>
      <c r="I26" s="786">
        <f t="shared" si="2"/>
        <v>0</v>
      </c>
      <c r="J26" s="786">
        <f t="shared" si="2"/>
        <v>0</v>
      </c>
      <c r="K26" s="786">
        <f t="shared" si="2"/>
        <v>177.96611214987234</v>
      </c>
      <c r="L26" s="786">
        <f t="shared" si="2"/>
        <v>0</v>
      </c>
      <c r="M26" s="786">
        <f t="shared" si="2"/>
        <v>0</v>
      </c>
      <c r="N26" s="786">
        <f t="shared" si="2"/>
        <v>0</v>
      </c>
      <c r="O26" s="786">
        <f t="shared" si="2"/>
        <v>0</v>
      </c>
      <c r="P26" s="786">
        <f t="shared" si="2"/>
        <v>0</v>
      </c>
      <c r="Q26" s="786">
        <f t="shared" si="2"/>
        <v>0</v>
      </c>
      <c r="R26" s="786">
        <f t="shared" si="2"/>
        <v>16354.775550134045</v>
      </c>
      <c r="S26" s="67"/>
    </row>
    <row r="27" spans="1:19" s="447" customFormat="1" ht="17.25" thickTop="1" thickBot="1">
      <c r="A27" s="680" t="s">
        <v>115</v>
      </c>
      <c r="B27" s="779"/>
      <c r="C27" s="681">
        <f ca="1">C22+C16+C26</f>
        <v>207874.36140276238</v>
      </c>
      <c r="D27" s="681">
        <f t="shared" ref="D27:R27" ca="1" si="3">D22+D16+D26</f>
        <v>35.357142857142861</v>
      </c>
      <c r="E27" s="681">
        <f t="shared" ca="1" si="3"/>
        <v>249186.84087033998</v>
      </c>
      <c r="F27" s="681">
        <f t="shared" si="3"/>
        <v>30695.290608806146</v>
      </c>
      <c r="G27" s="681">
        <f t="shared" ca="1" si="3"/>
        <v>92974.335848547969</v>
      </c>
      <c r="H27" s="681">
        <f t="shared" si="3"/>
        <v>221986.28094969969</v>
      </c>
      <c r="I27" s="681">
        <f t="shared" si="3"/>
        <v>37335.25476130368</v>
      </c>
      <c r="J27" s="681">
        <f t="shared" si="3"/>
        <v>0</v>
      </c>
      <c r="K27" s="681">
        <f t="shared" si="3"/>
        <v>634.83166613398225</v>
      </c>
      <c r="L27" s="681">
        <f t="shared" si="3"/>
        <v>0</v>
      </c>
      <c r="M27" s="681">
        <f t="shared" ca="1" si="3"/>
        <v>0</v>
      </c>
      <c r="N27" s="681">
        <f t="shared" si="3"/>
        <v>8101.2727929786879</v>
      </c>
      <c r="O27" s="681">
        <f t="shared" ca="1" si="3"/>
        <v>48195.272027221035</v>
      </c>
      <c r="P27" s="681">
        <f t="shared" si="3"/>
        <v>741.02</v>
      </c>
      <c r="Q27" s="681">
        <f t="shared" si="3"/>
        <v>2478.6666666666665</v>
      </c>
      <c r="R27" s="681">
        <f t="shared" ca="1" si="3"/>
        <v>900238.78473731736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15528.659693926622</v>
      </c>
      <c r="D40" s="978">
        <f ca="1">tertiair!C20</f>
        <v>8.4025210084033635</v>
      </c>
      <c r="E40" s="978">
        <f ca="1">tertiair!D20</f>
        <v>20207.297028683126</v>
      </c>
      <c r="F40" s="978">
        <f>tertiair!E20</f>
        <v>300.00135896650335</v>
      </c>
      <c r="G40" s="978">
        <f ca="1">tertiair!F20</f>
        <v>5334.799688007387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41379.160290592037</v>
      </c>
    </row>
    <row r="41" spans="1:18">
      <c r="A41" s="796" t="s">
        <v>224</v>
      </c>
      <c r="B41" s="803"/>
      <c r="C41" s="978">
        <f ca="1">huishoudens!B12</f>
        <v>12904.609845282966</v>
      </c>
      <c r="D41" s="978">
        <f ca="1">huishoudens!C12</f>
        <v>0</v>
      </c>
      <c r="E41" s="978">
        <f>huishoudens!D12</f>
        <v>25333.866638372161</v>
      </c>
      <c r="F41" s="978">
        <f>huishoudens!E12</f>
        <v>5420.2051020379095</v>
      </c>
      <c r="G41" s="978">
        <f>huishoudens!F12</f>
        <v>13178.569714348931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56837.251300041964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13421.635565515338</v>
      </c>
      <c r="D43" s="978">
        <f ca="1">industrie!C22</f>
        <v>0</v>
      </c>
      <c r="E43" s="978">
        <f>industrie!D22</f>
        <v>3476.3094888905393</v>
      </c>
      <c r="F43" s="978">
        <f>industrie!E22</f>
        <v>1126.2330470568381</v>
      </c>
      <c r="G43" s="978">
        <f>industrie!F22</f>
        <v>5104.3345917814531</v>
      </c>
      <c r="H43" s="978">
        <f>industrie!G22</f>
        <v>0</v>
      </c>
      <c r="I43" s="978">
        <f>industrie!H22</f>
        <v>0</v>
      </c>
      <c r="J43" s="978">
        <f>industrie!I22</f>
        <v>0</v>
      </c>
      <c r="K43" s="978">
        <f>industrie!J22</f>
        <v>161.7304061103749</v>
      </c>
      <c r="L43" s="978">
        <f>industrie!K22</f>
        <v>0</v>
      </c>
      <c r="M43" s="978">
        <f>industrie!L22</f>
        <v>0</v>
      </c>
      <c r="N43" s="978">
        <f>industrie!M22</f>
        <v>0</v>
      </c>
      <c r="O43" s="978">
        <f>industrie!N22</f>
        <v>0</v>
      </c>
      <c r="P43" s="978">
        <f>industrie!O22</f>
        <v>0</v>
      </c>
      <c r="Q43" s="748">
        <f>industrie!P22</f>
        <v>0</v>
      </c>
      <c r="R43" s="823">
        <f t="shared" ca="1" si="4"/>
        <v>23290.243099354546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41854.905104724923</v>
      </c>
      <c r="D46" s="706">
        <f t="shared" ref="D46:Q46" ca="1" si="5">SUM(D39:D45)</f>
        <v>8.4025210084033635</v>
      </c>
      <c r="E46" s="706">
        <f t="shared" ca="1" si="5"/>
        <v>49017.473155945823</v>
      </c>
      <c r="F46" s="706">
        <f t="shared" si="5"/>
        <v>6846.4395080612503</v>
      </c>
      <c r="G46" s="706">
        <f t="shared" ca="1" si="5"/>
        <v>23617.703994137773</v>
      </c>
      <c r="H46" s="706">
        <f t="shared" si="5"/>
        <v>0</v>
      </c>
      <c r="I46" s="706">
        <f t="shared" si="5"/>
        <v>0</v>
      </c>
      <c r="J46" s="706">
        <f t="shared" si="5"/>
        <v>0</v>
      </c>
      <c r="K46" s="706">
        <f t="shared" si="5"/>
        <v>161.7304061103749</v>
      </c>
      <c r="L46" s="706">
        <f t="shared" si="5"/>
        <v>0</v>
      </c>
      <c r="M46" s="706">
        <f t="shared" ca="1" si="5"/>
        <v>0</v>
      </c>
      <c r="N46" s="706">
        <f t="shared" si="5"/>
        <v>0</v>
      </c>
      <c r="O46" s="706">
        <f t="shared" ca="1" si="5"/>
        <v>0</v>
      </c>
      <c r="P46" s="706">
        <f t="shared" si="5"/>
        <v>0</v>
      </c>
      <c r="Q46" s="706">
        <f t="shared" si="5"/>
        <v>0</v>
      </c>
      <c r="R46" s="706">
        <f ca="1">SUM(R39:R45)</f>
        <v>121506.65468998854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736.95370040522334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736.95370040522334</v>
      </c>
    </row>
    <row r="50" spans="1:18">
      <c r="A50" s="799" t="s">
        <v>306</v>
      </c>
      <c r="B50" s="809"/>
      <c r="C50" s="677">
        <f ca="1">transport!B18</f>
        <v>10.991780291331846</v>
      </c>
      <c r="D50" s="677">
        <f>transport!C18</f>
        <v>0</v>
      </c>
      <c r="E50" s="677">
        <f>transport!D18</f>
        <v>21.992294612757412</v>
      </c>
      <c r="F50" s="677">
        <f>transport!E18</f>
        <v>114.15546412469726</v>
      </c>
      <c r="G50" s="677">
        <f>transport!F18</f>
        <v>0</v>
      </c>
      <c r="H50" s="677">
        <f>transport!G18</f>
        <v>58533.383313164595</v>
      </c>
      <c r="I50" s="677">
        <f>transport!H18</f>
        <v>9296.478435564617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67977.001287758001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10.991780291331846</v>
      </c>
      <c r="D52" s="706">
        <f t="shared" ref="D52:Q52" ca="1" si="6">SUM(D48:D51)</f>
        <v>0</v>
      </c>
      <c r="E52" s="706">
        <f t="shared" si="6"/>
        <v>21.992294612757412</v>
      </c>
      <c r="F52" s="706">
        <f t="shared" si="6"/>
        <v>114.15546412469726</v>
      </c>
      <c r="G52" s="706">
        <f t="shared" si="6"/>
        <v>0</v>
      </c>
      <c r="H52" s="706">
        <f t="shared" si="6"/>
        <v>59270.337013569821</v>
      </c>
      <c r="I52" s="706">
        <f t="shared" si="6"/>
        <v>9296.478435564617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68713.954988163227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255.36836574434</v>
      </c>
      <c r="D54" s="677">
        <f ca="1">+landbouw!C12</f>
        <v>0</v>
      </c>
      <c r="E54" s="677">
        <f>+landbouw!D12</f>
        <v>30.143914818293322</v>
      </c>
      <c r="F54" s="677">
        <f>+landbouw!E12</f>
        <v>7.235996013047437</v>
      </c>
      <c r="G54" s="677">
        <f>+landbouw!F12</f>
        <v>1206.4436774245419</v>
      </c>
      <c r="H54" s="677">
        <f>+landbouw!G12</f>
        <v>0</v>
      </c>
      <c r="I54" s="677">
        <f>+landbouw!H12</f>
        <v>0</v>
      </c>
      <c r="J54" s="677">
        <f>+landbouw!I12</f>
        <v>0</v>
      </c>
      <c r="K54" s="677">
        <f>+landbouw!J12</f>
        <v>63.000003701054808</v>
      </c>
      <c r="L54" s="677">
        <f>+landbouw!K12</f>
        <v>0</v>
      </c>
      <c r="M54" s="677">
        <f>+landbouw!L12</f>
        <v>0</v>
      </c>
      <c r="N54" s="677">
        <f>+landbouw!M12</f>
        <v>0</v>
      </c>
      <c r="O54" s="677">
        <f>+landbouw!N12</f>
        <v>0</v>
      </c>
      <c r="P54" s="677">
        <f>+landbouw!O12</f>
        <v>0</v>
      </c>
      <c r="Q54" s="678">
        <f>+landbouw!P12</f>
        <v>0</v>
      </c>
      <c r="R54" s="705">
        <f ca="1">SUM(C54:Q54)</f>
        <v>1562.1919577012775</v>
      </c>
    </row>
    <row r="55" spans="1:18" ht="15" thickBot="1">
      <c r="A55" s="799" t="s">
        <v>834</v>
      </c>
      <c r="B55" s="809"/>
      <c r="C55" s="677">
        <f ca="1">C25*'EF ele_warmte'!B12</f>
        <v>820.73242557524247</v>
      </c>
      <c r="D55" s="677"/>
      <c r="E55" s="677">
        <f>E25*EF_CO2_aardgas</f>
        <v>1266.1324904318001</v>
      </c>
      <c r="F55" s="677"/>
      <c r="G55" s="677"/>
      <c r="H55" s="677"/>
      <c r="I55" s="677"/>
      <c r="J55" s="677"/>
      <c r="K55" s="677"/>
      <c r="L55" s="677"/>
      <c r="M55" s="677"/>
      <c r="N55" s="677"/>
      <c r="O55" s="677"/>
      <c r="P55" s="677"/>
      <c r="Q55" s="678"/>
      <c r="R55" s="705">
        <f ca="1">SUM(C55:Q55)</f>
        <v>2086.8649160070427</v>
      </c>
    </row>
    <row r="56" spans="1:18" ht="15.75" thickBot="1">
      <c r="A56" s="797" t="s">
        <v>835</v>
      </c>
      <c r="B56" s="810"/>
      <c r="C56" s="706">
        <f ca="1">SUM(C54:C55)</f>
        <v>1076.1007913195824</v>
      </c>
      <c r="D56" s="706">
        <f t="shared" ref="D56:Q56" ca="1" si="7">SUM(D54:D55)</f>
        <v>0</v>
      </c>
      <c r="E56" s="706">
        <f t="shared" si="7"/>
        <v>1296.2764052500934</v>
      </c>
      <c r="F56" s="706">
        <f t="shared" si="7"/>
        <v>7.235996013047437</v>
      </c>
      <c r="G56" s="706">
        <f t="shared" si="7"/>
        <v>1206.4436774245419</v>
      </c>
      <c r="H56" s="706">
        <f t="shared" si="7"/>
        <v>0</v>
      </c>
      <c r="I56" s="706">
        <f t="shared" si="7"/>
        <v>0</v>
      </c>
      <c r="J56" s="706">
        <f t="shared" si="7"/>
        <v>0</v>
      </c>
      <c r="K56" s="706">
        <f t="shared" si="7"/>
        <v>63.000003701054808</v>
      </c>
      <c r="L56" s="706">
        <f t="shared" si="7"/>
        <v>0</v>
      </c>
      <c r="M56" s="706">
        <f t="shared" si="7"/>
        <v>0</v>
      </c>
      <c r="N56" s="706">
        <f t="shared" si="7"/>
        <v>0</v>
      </c>
      <c r="O56" s="706">
        <f t="shared" si="7"/>
        <v>0</v>
      </c>
      <c r="P56" s="706">
        <f t="shared" si="7"/>
        <v>0</v>
      </c>
      <c r="Q56" s="707">
        <f t="shared" si="7"/>
        <v>0</v>
      </c>
      <c r="R56" s="708">
        <f ca="1">SUM(R54:R55)</f>
        <v>3649.0568737083204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42941.997676335835</v>
      </c>
      <c r="D61" s="714">
        <f t="shared" ref="D61:Q61" ca="1" si="8">D46+D52+D56</f>
        <v>8.4025210084033635</v>
      </c>
      <c r="E61" s="714">
        <f t="shared" ca="1" si="8"/>
        <v>50335.741855808672</v>
      </c>
      <c r="F61" s="714">
        <f t="shared" si="8"/>
        <v>6967.8309681989949</v>
      </c>
      <c r="G61" s="714">
        <f t="shared" ca="1" si="8"/>
        <v>24824.147671562314</v>
      </c>
      <c r="H61" s="714">
        <f t="shared" si="8"/>
        <v>59270.337013569821</v>
      </c>
      <c r="I61" s="714">
        <f t="shared" si="8"/>
        <v>9296.478435564617</v>
      </c>
      <c r="J61" s="714">
        <f t="shared" si="8"/>
        <v>0</v>
      </c>
      <c r="K61" s="714">
        <f t="shared" si="8"/>
        <v>224.73040981142969</v>
      </c>
      <c r="L61" s="714">
        <f t="shared" si="8"/>
        <v>0</v>
      </c>
      <c r="M61" s="714">
        <f t="shared" ca="1" si="8"/>
        <v>0</v>
      </c>
      <c r="N61" s="714">
        <f t="shared" si="8"/>
        <v>0</v>
      </c>
      <c r="O61" s="714">
        <f t="shared" ca="1" si="8"/>
        <v>0</v>
      </c>
      <c r="P61" s="714">
        <f t="shared" si="8"/>
        <v>0</v>
      </c>
      <c r="Q61" s="714">
        <f t="shared" si="8"/>
        <v>0</v>
      </c>
      <c r="R61" s="714">
        <f ca="1">R46+R52+R56</f>
        <v>193869.66655186011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0.20657669077878496</v>
      </c>
      <c r="D63" s="755">
        <f t="shared" ca="1" si="9"/>
        <v>0.23764705882352943</v>
      </c>
      <c r="E63" s="989">
        <f t="shared" ca="1" si="9"/>
        <v>0.20199999999999999</v>
      </c>
      <c r="F63" s="755">
        <f t="shared" si="9"/>
        <v>0.22699999999999998</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13568.543929323645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24.75</v>
      </c>
      <c r="D76" s="999">
        <f>'lokale energieproductie'!C8</f>
        <v>29.117647058823533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13568.543929323645</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62468.857433203899</v>
      </c>
      <c r="C4" s="451">
        <f>huishoudens!C8</f>
        <v>0</v>
      </c>
      <c r="D4" s="451">
        <f>huishoudens!D8</f>
        <v>125415.18137808</v>
      </c>
      <c r="E4" s="451">
        <f>huishoudens!E8</f>
        <v>23877.555515585504</v>
      </c>
      <c r="F4" s="451">
        <f>huishoudens!F8</f>
        <v>49357.939005052169</v>
      </c>
      <c r="G4" s="451">
        <f>huishoudens!G8</f>
        <v>0</v>
      </c>
      <c r="H4" s="451">
        <f>huishoudens!H8</f>
        <v>0</v>
      </c>
      <c r="I4" s="451">
        <f>huishoudens!I8</f>
        <v>0</v>
      </c>
      <c r="J4" s="451">
        <f>huishoudens!J8</f>
        <v>0</v>
      </c>
      <c r="K4" s="451">
        <f>huishoudens!K8</f>
        <v>0</v>
      </c>
      <c r="L4" s="451">
        <f>huishoudens!L8</f>
        <v>0</v>
      </c>
      <c r="M4" s="451">
        <f>huishoudens!M8</f>
        <v>0</v>
      </c>
      <c r="N4" s="451">
        <f>huishoudens!N8</f>
        <v>37654.108045051093</v>
      </c>
      <c r="O4" s="451">
        <f>huishoudens!O8</f>
        <v>734.76666666666665</v>
      </c>
      <c r="P4" s="452">
        <f>huishoudens!P8</f>
        <v>2459.6</v>
      </c>
      <c r="Q4" s="453">
        <f>SUM(B4:P4)</f>
        <v>301968.0080436393</v>
      </c>
    </row>
    <row r="5" spans="1:17">
      <c r="A5" s="450" t="s">
        <v>155</v>
      </c>
      <c r="B5" s="451">
        <f ca="1">tertiair!B16</f>
        <v>73760.033101599998</v>
      </c>
      <c r="C5" s="451">
        <f ca="1">tertiair!C16</f>
        <v>35.357142857142861</v>
      </c>
      <c r="D5" s="451">
        <f ca="1">tertiair!D16</f>
        <v>100036.12390437191</v>
      </c>
      <c r="E5" s="451">
        <f>tertiair!E16</f>
        <v>1321.5918897202789</v>
      </c>
      <c r="F5" s="451">
        <f ca="1">tertiair!F16</f>
        <v>19980.523176057628</v>
      </c>
      <c r="G5" s="451">
        <f>tertiair!G16</f>
        <v>0</v>
      </c>
      <c r="H5" s="451">
        <f>tertiair!H16</f>
        <v>0</v>
      </c>
      <c r="I5" s="451">
        <f>tertiair!I16</f>
        <v>0</v>
      </c>
      <c r="J5" s="451">
        <f>tertiair!J16</f>
        <v>0</v>
      </c>
      <c r="K5" s="451">
        <f>tertiair!K16</f>
        <v>0</v>
      </c>
      <c r="L5" s="451">
        <f ca="1">tertiair!L16</f>
        <v>0</v>
      </c>
      <c r="M5" s="451">
        <f>tertiair!M16</f>
        <v>0</v>
      </c>
      <c r="N5" s="451">
        <f ca="1">tertiair!N16</f>
        <v>6431.613394146023</v>
      </c>
      <c r="O5" s="451">
        <f>tertiair!O16</f>
        <v>6.2533333333333339</v>
      </c>
      <c r="P5" s="452">
        <f>tertiair!P16</f>
        <v>19.066666666666666</v>
      </c>
      <c r="Q5" s="450">
        <f t="shared" ref="Q5:Q14" ca="1" si="0">SUM(B5:P5)</f>
        <v>201590.56260875298</v>
      </c>
    </row>
    <row r="6" spans="1:17">
      <c r="A6" s="450" t="s">
        <v>193</v>
      </c>
      <c r="B6" s="451">
        <f>'openbare verlichting'!B8</f>
        <v>1411.37</v>
      </c>
      <c r="C6" s="451"/>
      <c r="D6" s="451"/>
      <c r="E6" s="451"/>
      <c r="F6" s="451"/>
      <c r="G6" s="451"/>
      <c r="H6" s="451"/>
      <c r="I6" s="451"/>
      <c r="J6" s="451"/>
      <c r="K6" s="451"/>
      <c r="L6" s="451"/>
      <c r="M6" s="451"/>
      <c r="N6" s="451"/>
      <c r="O6" s="451"/>
      <c r="P6" s="452"/>
      <c r="Q6" s="450">
        <f t="shared" si="0"/>
        <v>1411.37</v>
      </c>
    </row>
    <row r="7" spans="1:17">
      <c r="A7" s="450" t="s">
        <v>111</v>
      </c>
      <c r="B7" s="451">
        <f>landbouw!B8</f>
        <v>1236.1915799000001</v>
      </c>
      <c r="C7" s="451">
        <f>landbouw!C8</f>
        <v>0</v>
      </c>
      <c r="D7" s="451">
        <f>landbouw!D8</f>
        <v>149.22730108066</v>
      </c>
      <c r="E7" s="451">
        <f>landbouw!E8</f>
        <v>31.876634418711177</v>
      </c>
      <c r="F7" s="451">
        <f>landbouw!F8</f>
        <v>4518.5156457848007</v>
      </c>
      <c r="G7" s="451">
        <f>landbouw!G8</f>
        <v>0</v>
      </c>
      <c r="H7" s="451">
        <f>landbouw!H8</f>
        <v>0</v>
      </c>
      <c r="I7" s="451">
        <f>landbouw!I8</f>
        <v>0</v>
      </c>
      <c r="J7" s="451">
        <f>landbouw!J8</f>
        <v>177.96611214987234</v>
      </c>
      <c r="K7" s="451">
        <f>landbouw!K8</f>
        <v>0</v>
      </c>
      <c r="L7" s="451">
        <f>landbouw!L8</f>
        <v>0</v>
      </c>
      <c r="M7" s="451">
        <f>landbouw!M8</f>
        <v>0</v>
      </c>
      <c r="N7" s="451">
        <f>landbouw!N8</f>
        <v>0</v>
      </c>
      <c r="O7" s="451">
        <f>landbouw!O8</f>
        <v>0</v>
      </c>
      <c r="P7" s="452">
        <f>landbouw!P8</f>
        <v>0</v>
      </c>
      <c r="Q7" s="450">
        <f t="shared" si="0"/>
        <v>6113.7772733340444</v>
      </c>
    </row>
    <row r="8" spans="1:17">
      <c r="A8" s="450" t="s">
        <v>637</v>
      </c>
      <c r="B8" s="451">
        <f>industrie!B18</f>
        <v>64971.684437950702</v>
      </c>
      <c r="C8" s="451">
        <f>industrie!C18</f>
        <v>0</v>
      </c>
      <c r="D8" s="451">
        <f>industrie!D18</f>
        <v>17209.452915299698</v>
      </c>
      <c r="E8" s="451">
        <f>industrie!E18</f>
        <v>4961.3790619243964</v>
      </c>
      <c r="F8" s="451">
        <f>industrie!F18</f>
        <v>19117.358021653381</v>
      </c>
      <c r="G8" s="451">
        <f>industrie!G18</f>
        <v>0</v>
      </c>
      <c r="H8" s="451">
        <f>industrie!H18</f>
        <v>0</v>
      </c>
      <c r="I8" s="451">
        <f>industrie!I18</f>
        <v>0</v>
      </c>
      <c r="J8" s="451">
        <f>industrie!J18</f>
        <v>456.86555398410991</v>
      </c>
      <c r="K8" s="451">
        <f>industrie!K18</f>
        <v>0</v>
      </c>
      <c r="L8" s="451">
        <f>industrie!L18</f>
        <v>0</v>
      </c>
      <c r="M8" s="451">
        <f>industrie!M18</f>
        <v>0</v>
      </c>
      <c r="N8" s="451">
        <f>industrie!N18</f>
        <v>4109.5505880239225</v>
      </c>
      <c r="O8" s="451">
        <f>industrie!O18</f>
        <v>0</v>
      </c>
      <c r="P8" s="452">
        <f>industrie!P18</f>
        <v>0</v>
      </c>
      <c r="Q8" s="450">
        <f t="shared" si="0"/>
        <v>110826.29057883623</v>
      </c>
    </row>
    <row r="9" spans="1:17" s="456" customFormat="1">
      <c r="A9" s="454" t="s">
        <v>563</v>
      </c>
      <c r="B9" s="455">
        <f>transport!B14</f>
        <v>53.209199207777608</v>
      </c>
      <c r="C9" s="455">
        <f>transport!C14</f>
        <v>0</v>
      </c>
      <c r="D9" s="455">
        <f>transport!D14</f>
        <v>108.87274560770996</v>
      </c>
      <c r="E9" s="455">
        <f>transport!E14</f>
        <v>502.88750715725666</v>
      </c>
      <c r="F9" s="455">
        <f>transport!F14</f>
        <v>0</v>
      </c>
      <c r="G9" s="455">
        <f>transport!G14</f>
        <v>219226.15473095354</v>
      </c>
      <c r="H9" s="455">
        <f>transport!H14</f>
        <v>37335.25476130368</v>
      </c>
      <c r="I9" s="455">
        <f>transport!I14</f>
        <v>0</v>
      </c>
      <c r="J9" s="455">
        <f>transport!J14</f>
        <v>0</v>
      </c>
      <c r="K9" s="455">
        <f>transport!K14</f>
        <v>0</v>
      </c>
      <c r="L9" s="455">
        <f>transport!L14</f>
        <v>0</v>
      </c>
      <c r="M9" s="455">
        <f>transport!M14</f>
        <v>8015.7679275086193</v>
      </c>
      <c r="N9" s="455">
        <f>transport!N14</f>
        <v>0</v>
      </c>
      <c r="O9" s="455">
        <f>transport!O14</f>
        <v>0</v>
      </c>
      <c r="P9" s="455">
        <f>transport!P14</f>
        <v>0</v>
      </c>
      <c r="Q9" s="454">
        <f>SUM(B9:P9)</f>
        <v>265242.1468717386</v>
      </c>
    </row>
    <row r="10" spans="1:17">
      <c r="A10" s="450" t="s">
        <v>553</v>
      </c>
      <c r="B10" s="451">
        <f>transport!B54</f>
        <v>0</v>
      </c>
      <c r="C10" s="451">
        <f>transport!C54</f>
        <v>0</v>
      </c>
      <c r="D10" s="451">
        <f>transport!D54</f>
        <v>0</v>
      </c>
      <c r="E10" s="451">
        <f>transport!E54</f>
        <v>0</v>
      </c>
      <c r="F10" s="451">
        <f>transport!F54</f>
        <v>0</v>
      </c>
      <c r="G10" s="451">
        <f>transport!G54</f>
        <v>2760.1262187461548</v>
      </c>
      <c r="H10" s="451">
        <f>transport!H54</f>
        <v>0</v>
      </c>
      <c r="I10" s="451">
        <f>transport!I54</f>
        <v>0</v>
      </c>
      <c r="J10" s="451">
        <f>transport!J54</f>
        <v>0</v>
      </c>
      <c r="K10" s="451">
        <f>transport!K54</f>
        <v>0</v>
      </c>
      <c r="L10" s="451">
        <f>transport!L54</f>
        <v>0</v>
      </c>
      <c r="M10" s="451">
        <f>transport!M54</f>
        <v>85.504865470068907</v>
      </c>
      <c r="N10" s="451">
        <f>transport!N54</f>
        <v>0</v>
      </c>
      <c r="O10" s="451">
        <f>transport!O54</f>
        <v>0</v>
      </c>
      <c r="P10" s="452">
        <f>transport!P54</f>
        <v>0</v>
      </c>
      <c r="Q10" s="450">
        <f t="shared" si="0"/>
        <v>2845.6310842162238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3973.0156508999999</v>
      </c>
      <c r="C14" s="458"/>
      <c r="D14" s="458">
        <f>'SEAP template'!E25</f>
        <v>6267.9826259000001</v>
      </c>
      <c r="E14" s="458"/>
      <c r="F14" s="458"/>
      <c r="G14" s="458"/>
      <c r="H14" s="458"/>
      <c r="I14" s="458"/>
      <c r="J14" s="458"/>
      <c r="K14" s="458"/>
      <c r="L14" s="458"/>
      <c r="M14" s="458"/>
      <c r="N14" s="458"/>
      <c r="O14" s="458"/>
      <c r="P14" s="459"/>
      <c r="Q14" s="450">
        <f t="shared" si="0"/>
        <v>10240.998276800001</v>
      </c>
    </row>
    <row r="15" spans="1:17" s="460" customFormat="1">
      <c r="A15" s="1004" t="s">
        <v>557</v>
      </c>
      <c r="B15" s="944">
        <f ca="1">SUM(B4:B14)</f>
        <v>207874.36140276238</v>
      </c>
      <c r="C15" s="944">
        <f t="shared" ref="C15:Q15" ca="1" si="1">SUM(C4:C14)</f>
        <v>35.357142857142861</v>
      </c>
      <c r="D15" s="944">
        <f t="shared" ca="1" si="1"/>
        <v>249186.84087033998</v>
      </c>
      <c r="E15" s="944">
        <f t="shared" si="1"/>
        <v>30695.290608806146</v>
      </c>
      <c r="F15" s="944">
        <f t="shared" ca="1" si="1"/>
        <v>92974.335848547984</v>
      </c>
      <c r="G15" s="944">
        <f t="shared" si="1"/>
        <v>221986.28094969969</v>
      </c>
      <c r="H15" s="944">
        <f t="shared" si="1"/>
        <v>37335.25476130368</v>
      </c>
      <c r="I15" s="944">
        <f t="shared" si="1"/>
        <v>0</v>
      </c>
      <c r="J15" s="944">
        <f t="shared" si="1"/>
        <v>634.83166613398225</v>
      </c>
      <c r="K15" s="944">
        <f t="shared" si="1"/>
        <v>0</v>
      </c>
      <c r="L15" s="944">
        <f t="shared" ca="1" si="1"/>
        <v>0</v>
      </c>
      <c r="M15" s="944">
        <f t="shared" si="1"/>
        <v>8101.2727929786879</v>
      </c>
      <c r="N15" s="944">
        <f t="shared" ca="1" si="1"/>
        <v>48195.272027221035</v>
      </c>
      <c r="O15" s="944">
        <f t="shared" si="1"/>
        <v>741.02</v>
      </c>
      <c r="P15" s="944">
        <f t="shared" si="1"/>
        <v>2478.6666666666665</v>
      </c>
      <c r="Q15" s="944">
        <f t="shared" ca="1" si="1"/>
        <v>900238.78473731736</v>
      </c>
    </row>
    <row r="17" spans="1:17">
      <c r="A17" s="461" t="s">
        <v>558</v>
      </c>
      <c r="B17" s="760">
        <f ca="1">huishoudens!B10</f>
        <v>0.20657669077878499</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12904.609845282966</v>
      </c>
      <c r="C22" s="451">
        <f t="shared" ref="C22:C32" ca="1" si="3">C4*$C$17</f>
        <v>0</v>
      </c>
      <c r="D22" s="451">
        <f t="shared" ref="D22:D32" si="4">D4*$D$17</f>
        <v>25333.866638372161</v>
      </c>
      <c r="E22" s="451">
        <f t="shared" ref="E22:E32" si="5">E4*$E$17</f>
        <v>5420.2051020379095</v>
      </c>
      <c r="F22" s="451">
        <f t="shared" ref="F22:F32" si="6">F4*$F$17</f>
        <v>13178.569714348931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56837.251300041964</v>
      </c>
    </row>
    <row r="23" spans="1:17">
      <c r="A23" s="450" t="s">
        <v>155</v>
      </c>
      <c r="B23" s="451">
        <f t="shared" ca="1" si="2"/>
        <v>15237.103549862168</v>
      </c>
      <c r="C23" s="451">
        <f t="shared" ca="1" si="3"/>
        <v>8.4025210084033635</v>
      </c>
      <c r="D23" s="451">
        <f t="shared" ca="1" si="4"/>
        <v>20207.297028683126</v>
      </c>
      <c r="E23" s="451">
        <f t="shared" si="5"/>
        <v>300.00135896650335</v>
      </c>
      <c r="F23" s="451">
        <f t="shared" ca="1" si="6"/>
        <v>5334.799688007387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41087.604146527585</v>
      </c>
    </row>
    <row r="24" spans="1:17">
      <c r="A24" s="450" t="s">
        <v>193</v>
      </c>
      <c r="B24" s="451">
        <f t="shared" ca="1" si="2"/>
        <v>291.55614406445375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291.55614406445375</v>
      </c>
    </row>
    <row r="25" spans="1:17">
      <c r="A25" s="450" t="s">
        <v>111</v>
      </c>
      <c r="B25" s="451">
        <f t="shared" ca="1" si="2"/>
        <v>255.36836574434</v>
      </c>
      <c r="C25" s="451">
        <f t="shared" ca="1" si="3"/>
        <v>0</v>
      </c>
      <c r="D25" s="451">
        <f t="shared" si="4"/>
        <v>30.143914818293322</v>
      </c>
      <c r="E25" s="451">
        <f t="shared" si="5"/>
        <v>7.235996013047437</v>
      </c>
      <c r="F25" s="451">
        <f t="shared" si="6"/>
        <v>1206.4436774245419</v>
      </c>
      <c r="G25" s="451">
        <f t="shared" si="7"/>
        <v>0</v>
      </c>
      <c r="H25" s="451">
        <f t="shared" si="8"/>
        <v>0</v>
      </c>
      <c r="I25" s="451">
        <f t="shared" si="9"/>
        <v>0</v>
      </c>
      <c r="J25" s="451">
        <f t="shared" si="10"/>
        <v>63.000003701054808</v>
      </c>
      <c r="K25" s="451">
        <f t="shared" si="11"/>
        <v>0</v>
      </c>
      <c r="L25" s="451">
        <f t="shared" si="12"/>
        <v>0</v>
      </c>
      <c r="M25" s="451">
        <f t="shared" si="13"/>
        <v>0</v>
      </c>
      <c r="N25" s="451">
        <f t="shared" si="14"/>
        <v>0</v>
      </c>
      <c r="O25" s="451">
        <f t="shared" si="15"/>
        <v>0</v>
      </c>
      <c r="P25" s="452">
        <f t="shared" si="16"/>
        <v>0</v>
      </c>
      <c r="Q25" s="450">
        <f t="shared" ca="1" si="17"/>
        <v>1562.1919577012775</v>
      </c>
    </row>
    <row r="26" spans="1:17">
      <c r="A26" s="450" t="s">
        <v>637</v>
      </c>
      <c r="B26" s="451">
        <f t="shared" ca="1" si="2"/>
        <v>13421.635565515338</v>
      </c>
      <c r="C26" s="451">
        <f t="shared" ca="1" si="3"/>
        <v>0</v>
      </c>
      <c r="D26" s="451">
        <f t="shared" si="4"/>
        <v>3476.3094888905393</v>
      </c>
      <c r="E26" s="451">
        <f t="shared" si="5"/>
        <v>1126.2330470568381</v>
      </c>
      <c r="F26" s="451">
        <f t="shared" si="6"/>
        <v>5104.3345917814531</v>
      </c>
      <c r="G26" s="451">
        <f t="shared" si="7"/>
        <v>0</v>
      </c>
      <c r="H26" s="451">
        <f t="shared" si="8"/>
        <v>0</v>
      </c>
      <c r="I26" s="451">
        <f t="shared" si="9"/>
        <v>0</v>
      </c>
      <c r="J26" s="451">
        <f t="shared" si="10"/>
        <v>161.7304061103749</v>
      </c>
      <c r="K26" s="451">
        <f t="shared" si="11"/>
        <v>0</v>
      </c>
      <c r="L26" s="451">
        <f t="shared" si="12"/>
        <v>0</v>
      </c>
      <c r="M26" s="451">
        <f t="shared" si="13"/>
        <v>0</v>
      </c>
      <c r="N26" s="451">
        <f t="shared" si="14"/>
        <v>0</v>
      </c>
      <c r="O26" s="451">
        <f t="shared" si="15"/>
        <v>0</v>
      </c>
      <c r="P26" s="452">
        <f t="shared" si="16"/>
        <v>0</v>
      </c>
      <c r="Q26" s="450">
        <f t="shared" ca="1" si="17"/>
        <v>23290.243099354546</v>
      </c>
    </row>
    <row r="27" spans="1:17" s="456" customFormat="1">
      <c r="A27" s="454" t="s">
        <v>563</v>
      </c>
      <c r="B27" s="754">
        <f t="shared" ca="1" si="2"/>
        <v>10.991780291331846</v>
      </c>
      <c r="C27" s="455">
        <f t="shared" ca="1" si="3"/>
        <v>0</v>
      </c>
      <c r="D27" s="455">
        <f t="shared" si="4"/>
        <v>21.992294612757412</v>
      </c>
      <c r="E27" s="455">
        <f t="shared" si="5"/>
        <v>114.15546412469726</v>
      </c>
      <c r="F27" s="455">
        <f t="shared" si="6"/>
        <v>0</v>
      </c>
      <c r="G27" s="455">
        <f t="shared" si="7"/>
        <v>58533.383313164595</v>
      </c>
      <c r="H27" s="455">
        <f t="shared" si="8"/>
        <v>9296.478435564617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67977.001287758001</v>
      </c>
    </row>
    <row r="28" spans="1:17">
      <c r="A28" s="450" t="s">
        <v>553</v>
      </c>
      <c r="B28" s="451">
        <f t="shared" ca="1" si="2"/>
        <v>0</v>
      </c>
      <c r="C28" s="451">
        <f t="shared" ca="1" si="3"/>
        <v>0</v>
      </c>
      <c r="D28" s="451">
        <f t="shared" si="4"/>
        <v>0</v>
      </c>
      <c r="E28" s="451">
        <f t="shared" si="5"/>
        <v>0</v>
      </c>
      <c r="F28" s="451">
        <f t="shared" si="6"/>
        <v>0</v>
      </c>
      <c r="G28" s="451">
        <f t="shared" si="7"/>
        <v>736.95370040522334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736.95370040522334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820.73242557524247</v>
      </c>
      <c r="C32" s="451">
        <f t="shared" ca="1" si="3"/>
        <v>0</v>
      </c>
      <c r="D32" s="451">
        <f t="shared" si="4"/>
        <v>1266.1324904318001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2086.8649160070427</v>
      </c>
    </row>
    <row r="33" spans="1:17" s="460" customFormat="1">
      <c r="A33" s="1004" t="s">
        <v>557</v>
      </c>
      <c r="B33" s="944">
        <f ca="1">SUM(B22:B32)</f>
        <v>42941.997676335835</v>
      </c>
      <c r="C33" s="944">
        <f t="shared" ref="C33:Q33" ca="1" si="18">SUM(C22:C32)</f>
        <v>8.4025210084033635</v>
      </c>
      <c r="D33" s="944">
        <f t="shared" ca="1" si="18"/>
        <v>50335.741855808672</v>
      </c>
      <c r="E33" s="944">
        <f t="shared" si="18"/>
        <v>6967.8309681989949</v>
      </c>
      <c r="F33" s="944">
        <f t="shared" ca="1" si="18"/>
        <v>24824.147671562314</v>
      </c>
      <c r="G33" s="944">
        <f t="shared" si="18"/>
        <v>59270.337013569821</v>
      </c>
      <c r="H33" s="944">
        <f t="shared" si="18"/>
        <v>9296.478435564617</v>
      </c>
      <c r="I33" s="944">
        <f t="shared" si="18"/>
        <v>0</v>
      </c>
      <c r="J33" s="944">
        <f t="shared" si="18"/>
        <v>224.73040981142969</v>
      </c>
      <c r="K33" s="944">
        <f t="shared" si="18"/>
        <v>0</v>
      </c>
      <c r="L33" s="944">
        <f t="shared" ca="1" si="18"/>
        <v>0</v>
      </c>
      <c r="M33" s="944">
        <f t="shared" si="18"/>
        <v>0</v>
      </c>
      <c r="N33" s="944">
        <f t="shared" ca="1" si="18"/>
        <v>0</v>
      </c>
      <c r="O33" s="944">
        <f t="shared" si="18"/>
        <v>0</v>
      </c>
      <c r="P33" s="944">
        <f t="shared" si="18"/>
        <v>0</v>
      </c>
      <c r="Q33" s="944">
        <f t="shared" ca="1" si="18"/>
        <v>193869.66655186008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13568.543929323645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24.75</v>
      </c>
      <c r="D8" s="1021">
        <f>'SEAP template'!D76</f>
        <v>29.117647058823533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5.8817647058823539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13568.543929323645</v>
      </c>
      <c r="C10" s="1025">
        <f>SUM(C4:C9)</f>
        <v>24.75</v>
      </c>
      <c r="D10" s="1025">
        <f t="shared" ref="D10:H10" si="0">SUM(D8:D9)</f>
        <v>29.117647058823533</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0.20657669077878499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35.357142857142861</v>
      </c>
      <c r="D17" s="1022">
        <f>'SEAP template'!D87</f>
        <v>41.596638655462193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8.4025210084033635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35.357142857142861</v>
      </c>
      <c r="D20" s="1025">
        <f t="shared" ref="D20:H20" si="2">SUM(D17:D19)</f>
        <v>41.596638655462193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8.4025210084033635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0.20657669077878499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2</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38.133333333333333</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0.20657669077878499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0.20657669077878499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15191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3185.53</v>
      </c>
      <c r="C14" s="330"/>
      <c r="D14" s="330"/>
      <c r="E14" s="330"/>
      <c r="F14" s="330"/>
    </row>
    <row r="15" spans="1:6">
      <c r="A15" s="1291" t="s">
        <v>183</v>
      </c>
      <c r="B15" s="1292">
        <v>173</v>
      </c>
      <c r="C15" s="330"/>
      <c r="D15" s="330"/>
      <c r="E15" s="330"/>
      <c r="F15" s="330"/>
    </row>
    <row r="16" spans="1:6">
      <c r="A16" s="1291" t="s">
        <v>6</v>
      </c>
      <c r="B16" s="1292">
        <v>979</v>
      </c>
      <c r="C16" s="330"/>
      <c r="D16" s="330"/>
      <c r="E16" s="330"/>
      <c r="F16" s="330"/>
    </row>
    <row r="17" spans="1:6">
      <c r="A17" s="1291" t="s">
        <v>7</v>
      </c>
      <c r="B17" s="1292">
        <v>252</v>
      </c>
      <c r="C17" s="330"/>
      <c r="D17" s="330"/>
      <c r="E17" s="330"/>
      <c r="F17" s="330"/>
    </row>
    <row r="18" spans="1:6">
      <c r="A18" s="1291" t="s">
        <v>8</v>
      </c>
      <c r="B18" s="1292">
        <v>754</v>
      </c>
      <c r="C18" s="330"/>
      <c r="D18" s="330"/>
      <c r="E18" s="330"/>
      <c r="F18" s="330"/>
    </row>
    <row r="19" spans="1:6">
      <c r="A19" s="1291" t="s">
        <v>9</v>
      </c>
      <c r="B19" s="1292">
        <v>876</v>
      </c>
      <c r="C19" s="330"/>
      <c r="D19" s="330"/>
      <c r="E19" s="330"/>
      <c r="F19" s="330"/>
    </row>
    <row r="20" spans="1:6">
      <c r="A20" s="1291" t="s">
        <v>10</v>
      </c>
      <c r="B20" s="1292">
        <v>252</v>
      </c>
      <c r="C20" s="330"/>
      <c r="D20" s="330"/>
      <c r="E20" s="330"/>
      <c r="F20" s="330"/>
    </row>
    <row r="21" spans="1:6">
      <c r="A21" s="1291" t="s">
        <v>11</v>
      </c>
      <c r="B21" s="1292">
        <v>755</v>
      </c>
      <c r="C21" s="330"/>
      <c r="D21" s="330"/>
      <c r="E21" s="330"/>
      <c r="F21" s="330"/>
    </row>
    <row r="22" spans="1:6">
      <c r="A22" s="1291" t="s">
        <v>12</v>
      </c>
      <c r="B22" s="1292">
        <v>2817</v>
      </c>
      <c r="C22" s="330"/>
      <c r="D22" s="330"/>
      <c r="E22" s="330"/>
      <c r="F22" s="330"/>
    </row>
    <row r="23" spans="1:6">
      <c r="A23" s="1291" t="s">
        <v>13</v>
      </c>
      <c r="B23" s="1292">
        <v>27</v>
      </c>
      <c r="C23" s="330"/>
      <c r="D23" s="330"/>
      <c r="E23" s="330"/>
      <c r="F23" s="330"/>
    </row>
    <row r="24" spans="1:6">
      <c r="A24" s="1291" t="s">
        <v>14</v>
      </c>
      <c r="B24" s="1292">
        <v>1</v>
      </c>
      <c r="C24" s="330"/>
      <c r="D24" s="330"/>
      <c r="E24" s="330"/>
      <c r="F24" s="330"/>
    </row>
    <row r="25" spans="1:6">
      <c r="A25" s="1291" t="s">
        <v>15</v>
      </c>
      <c r="B25" s="1292">
        <v>228</v>
      </c>
      <c r="C25" s="330"/>
      <c r="D25" s="330"/>
      <c r="E25" s="330"/>
      <c r="F25" s="330"/>
    </row>
    <row r="26" spans="1:6">
      <c r="A26" s="1291" t="s">
        <v>16</v>
      </c>
      <c r="B26" s="1292">
        <v>1016</v>
      </c>
      <c r="C26" s="330"/>
      <c r="D26" s="330"/>
      <c r="E26" s="330"/>
      <c r="F26" s="330"/>
    </row>
    <row r="27" spans="1:6">
      <c r="A27" s="1291" t="s">
        <v>17</v>
      </c>
      <c r="B27" s="1292">
        <v>0</v>
      </c>
      <c r="C27" s="330"/>
      <c r="D27" s="330"/>
      <c r="E27" s="330"/>
      <c r="F27" s="330"/>
    </row>
    <row r="28" spans="1:6" s="43" customFormat="1">
      <c r="A28" s="1293" t="s">
        <v>18</v>
      </c>
      <c r="B28" s="1294">
        <v>59486</v>
      </c>
      <c r="C28" s="336"/>
      <c r="D28" s="336"/>
      <c r="E28" s="336"/>
      <c r="F28" s="336"/>
    </row>
    <row r="29" spans="1:6">
      <c r="A29" s="1293" t="s">
        <v>892</v>
      </c>
      <c r="B29" s="1294">
        <v>114</v>
      </c>
      <c r="C29" s="336"/>
      <c r="D29" s="336"/>
      <c r="E29" s="336"/>
      <c r="F29" s="336"/>
    </row>
    <row r="30" spans="1:6">
      <c r="A30" s="1286" t="s">
        <v>893</v>
      </c>
      <c r="B30" s="1295">
        <v>25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23644.334750999999</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454879.08572999999</v>
      </c>
      <c r="E38" s="1292">
        <v>4</v>
      </c>
      <c r="F38" s="1292">
        <v>75838.757276000004</v>
      </c>
    </row>
    <row r="39" spans="1:6">
      <c r="A39" s="1291" t="s">
        <v>29</v>
      </c>
      <c r="B39" s="1291" t="s">
        <v>30</v>
      </c>
      <c r="C39" s="1292">
        <v>9161</v>
      </c>
      <c r="D39" s="1292">
        <v>139041221.03999999</v>
      </c>
      <c r="E39" s="1292">
        <v>14915</v>
      </c>
      <c r="F39" s="1292">
        <v>52561347.376999997</v>
      </c>
    </row>
    <row r="40" spans="1:6">
      <c r="A40" s="1291" t="s">
        <v>29</v>
      </c>
      <c r="B40" s="1291" t="s">
        <v>28</v>
      </c>
      <c r="C40" s="1292">
        <v>0</v>
      </c>
      <c r="D40" s="1292">
        <v>0</v>
      </c>
      <c r="E40" s="1292">
        <v>1</v>
      </c>
      <c r="F40" s="1292">
        <v>13284</v>
      </c>
    </row>
    <row r="41" spans="1:6">
      <c r="A41" s="1291" t="s">
        <v>31</v>
      </c>
      <c r="B41" s="1291" t="s">
        <v>32</v>
      </c>
      <c r="C41" s="1292">
        <v>149</v>
      </c>
      <c r="D41" s="1292">
        <v>9019165.1439999994</v>
      </c>
      <c r="E41" s="1292">
        <v>289</v>
      </c>
      <c r="F41" s="1292">
        <v>7388159.8859000001</v>
      </c>
    </row>
    <row r="42" spans="1:6">
      <c r="A42" s="1291" t="s">
        <v>31</v>
      </c>
      <c r="B42" s="1291" t="s">
        <v>33</v>
      </c>
      <c r="C42" s="1292">
        <v>0</v>
      </c>
      <c r="D42" s="1292">
        <v>0</v>
      </c>
      <c r="E42" s="1292">
        <v>3</v>
      </c>
      <c r="F42" s="1292">
        <v>9535.8052026999994</v>
      </c>
    </row>
    <row r="43" spans="1:6">
      <c r="A43" s="1291" t="s">
        <v>31</v>
      </c>
      <c r="B43" s="1291" t="s">
        <v>34</v>
      </c>
      <c r="C43" s="1292">
        <v>0</v>
      </c>
      <c r="D43" s="1292">
        <v>0</v>
      </c>
      <c r="E43" s="1292">
        <v>0</v>
      </c>
      <c r="F43" s="1292">
        <v>0</v>
      </c>
    </row>
    <row r="44" spans="1:6">
      <c r="A44" s="1291" t="s">
        <v>31</v>
      </c>
      <c r="B44" s="1291" t="s">
        <v>35</v>
      </c>
      <c r="C44" s="1292">
        <v>0</v>
      </c>
      <c r="D44" s="1292">
        <v>0</v>
      </c>
      <c r="E44" s="1292">
        <v>34</v>
      </c>
      <c r="F44" s="1292">
        <v>999310.21970000002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92482.423288000005</v>
      </c>
    </row>
    <row r="48" spans="1:6">
      <c r="A48" s="1291" t="s">
        <v>31</v>
      </c>
      <c r="B48" s="1291" t="s">
        <v>28</v>
      </c>
      <c r="C48" s="1292">
        <v>39</v>
      </c>
      <c r="D48" s="1292">
        <v>9381287.1801999994</v>
      </c>
      <c r="E48" s="1292">
        <v>44</v>
      </c>
      <c r="F48" s="1292">
        <v>55589976.502999999</v>
      </c>
    </row>
    <row r="49" spans="1:6">
      <c r="A49" s="1291" t="s">
        <v>31</v>
      </c>
      <c r="B49" s="1291" t="s">
        <v>39</v>
      </c>
      <c r="C49" s="1292">
        <v>0</v>
      </c>
      <c r="D49" s="1292">
        <v>0</v>
      </c>
      <c r="E49" s="1292">
        <v>0</v>
      </c>
      <c r="F49" s="1292">
        <v>0</v>
      </c>
    </row>
    <row r="50" spans="1:6">
      <c r="A50" s="1291" t="s">
        <v>31</v>
      </c>
      <c r="B50" s="1291" t="s">
        <v>40</v>
      </c>
      <c r="C50" s="1292">
        <v>7</v>
      </c>
      <c r="D50" s="1292">
        <v>678763.76815000002</v>
      </c>
      <c r="E50" s="1292">
        <v>24</v>
      </c>
      <c r="F50" s="1292">
        <v>892219.60086000001</v>
      </c>
    </row>
    <row r="51" spans="1:6">
      <c r="A51" s="1291" t="s">
        <v>41</v>
      </c>
      <c r="B51" s="1291" t="s">
        <v>42</v>
      </c>
      <c r="C51" s="1292">
        <v>3</v>
      </c>
      <c r="D51" s="1292">
        <v>98756.430600000007</v>
      </c>
      <c r="E51" s="1292">
        <v>39</v>
      </c>
      <c r="F51" s="1292">
        <v>953950.72608000005</v>
      </c>
    </row>
    <row r="52" spans="1:6">
      <c r="A52" s="1291" t="s">
        <v>41</v>
      </c>
      <c r="B52" s="1291" t="s">
        <v>28</v>
      </c>
      <c r="C52" s="1292">
        <v>3</v>
      </c>
      <c r="D52" s="1292">
        <v>66684.036229999998</v>
      </c>
      <c r="E52" s="1292">
        <v>6</v>
      </c>
      <c r="F52" s="1292">
        <v>282240.85382000002</v>
      </c>
    </row>
    <row r="53" spans="1:6">
      <c r="A53" s="1291" t="s">
        <v>43</v>
      </c>
      <c r="B53" s="1291" t="s">
        <v>44</v>
      </c>
      <c r="C53" s="1292">
        <v>231</v>
      </c>
      <c r="D53" s="1292">
        <v>6267982.6259000003</v>
      </c>
      <c r="E53" s="1292">
        <v>677</v>
      </c>
      <c r="F53" s="1292">
        <v>3973015.6508999998</v>
      </c>
    </row>
    <row r="54" spans="1:6">
      <c r="A54" s="1291" t="s">
        <v>45</v>
      </c>
      <c r="B54" s="1291" t="s">
        <v>46</v>
      </c>
      <c r="C54" s="1292">
        <v>0</v>
      </c>
      <c r="D54" s="1292">
        <v>0</v>
      </c>
      <c r="E54" s="1292">
        <v>1</v>
      </c>
      <c r="F54" s="1292">
        <v>1411370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73</v>
      </c>
      <c r="D57" s="1292">
        <v>4214333.5416999999</v>
      </c>
      <c r="E57" s="1292">
        <v>176</v>
      </c>
      <c r="F57" s="1292">
        <v>7251452.6968</v>
      </c>
    </row>
    <row r="58" spans="1:6">
      <c r="A58" s="1291" t="s">
        <v>48</v>
      </c>
      <c r="B58" s="1291" t="s">
        <v>50</v>
      </c>
      <c r="C58" s="1292">
        <v>77</v>
      </c>
      <c r="D58" s="1292">
        <v>7639645.9160000002</v>
      </c>
      <c r="E58" s="1292">
        <v>105</v>
      </c>
      <c r="F58" s="1292">
        <v>1726285.7008</v>
      </c>
    </row>
    <row r="59" spans="1:6">
      <c r="A59" s="1291" t="s">
        <v>48</v>
      </c>
      <c r="B59" s="1291" t="s">
        <v>51</v>
      </c>
      <c r="C59" s="1292">
        <v>248</v>
      </c>
      <c r="D59" s="1292">
        <v>9726457.3873999994</v>
      </c>
      <c r="E59" s="1292">
        <v>501</v>
      </c>
      <c r="F59" s="1292">
        <v>14353035.583000001</v>
      </c>
    </row>
    <row r="60" spans="1:6">
      <c r="A60" s="1291" t="s">
        <v>48</v>
      </c>
      <c r="B60" s="1291" t="s">
        <v>52</v>
      </c>
      <c r="C60" s="1292">
        <v>144</v>
      </c>
      <c r="D60" s="1292">
        <v>24486396.978</v>
      </c>
      <c r="E60" s="1292">
        <v>219</v>
      </c>
      <c r="F60" s="1292">
        <v>9889192.8561000004</v>
      </c>
    </row>
    <row r="61" spans="1:6">
      <c r="A61" s="1291" t="s">
        <v>48</v>
      </c>
      <c r="B61" s="1291" t="s">
        <v>53</v>
      </c>
      <c r="C61" s="1292">
        <v>255</v>
      </c>
      <c r="D61" s="1292">
        <v>57275034.340000004</v>
      </c>
      <c r="E61" s="1292">
        <v>492</v>
      </c>
      <c r="F61" s="1292">
        <v>30331479.243000001</v>
      </c>
    </row>
    <row r="62" spans="1:6">
      <c r="A62" s="1291" t="s">
        <v>48</v>
      </c>
      <c r="B62" s="1291" t="s">
        <v>54</v>
      </c>
      <c r="C62" s="1292">
        <v>27</v>
      </c>
      <c r="D62" s="1292">
        <v>3572066.4046999998</v>
      </c>
      <c r="E62" s="1292">
        <v>37</v>
      </c>
      <c r="F62" s="1292">
        <v>2914893.8007999999</v>
      </c>
    </row>
    <row r="63" spans="1:6">
      <c r="A63" s="1291" t="s">
        <v>48</v>
      </c>
      <c r="B63" s="1291" t="s">
        <v>28</v>
      </c>
      <c r="C63" s="1292">
        <v>95</v>
      </c>
      <c r="D63" s="1292">
        <v>4069256.3303</v>
      </c>
      <c r="E63" s="1292">
        <v>83</v>
      </c>
      <c r="F63" s="1292">
        <v>7268943.2210999997</v>
      </c>
    </row>
    <row r="64" spans="1:6">
      <c r="A64" s="1291" t="s">
        <v>55</v>
      </c>
      <c r="B64" s="1291" t="s">
        <v>56</v>
      </c>
      <c r="C64" s="1292">
        <v>0</v>
      </c>
      <c r="D64" s="1292">
        <v>0</v>
      </c>
      <c r="E64" s="1292">
        <v>0</v>
      </c>
      <c r="F64" s="1292">
        <v>0</v>
      </c>
    </row>
    <row r="65" spans="1:6">
      <c r="A65" s="1291" t="s">
        <v>55</v>
      </c>
      <c r="B65" s="1291" t="s">
        <v>28</v>
      </c>
      <c r="C65" s="1292">
        <v>2</v>
      </c>
      <c r="D65" s="1292">
        <v>258848.35114000001</v>
      </c>
      <c r="E65" s="1292">
        <v>1</v>
      </c>
      <c r="F65" s="1292">
        <v>5107.457958</v>
      </c>
    </row>
    <row r="66" spans="1:6">
      <c r="A66" s="1291" t="s">
        <v>55</v>
      </c>
      <c r="B66" s="1291" t="s">
        <v>57</v>
      </c>
      <c r="C66" s="1292">
        <v>0</v>
      </c>
      <c r="D66" s="1292">
        <v>0</v>
      </c>
      <c r="E66" s="1292">
        <v>12</v>
      </c>
      <c r="F66" s="1292">
        <v>297043.60905000003</v>
      </c>
    </row>
    <row r="67" spans="1:6">
      <c r="A67" s="1293" t="s">
        <v>55</v>
      </c>
      <c r="B67" s="1293" t="s">
        <v>58</v>
      </c>
      <c r="C67" s="1292">
        <v>0</v>
      </c>
      <c r="D67" s="1292">
        <v>0</v>
      </c>
      <c r="E67" s="1292">
        <v>0</v>
      </c>
      <c r="F67" s="1292">
        <v>0</v>
      </c>
    </row>
    <row r="68" spans="1:6">
      <c r="A68" s="1286" t="s">
        <v>55</v>
      </c>
      <c r="B68" s="1286" t="s">
        <v>59</v>
      </c>
      <c r="C68" s="1295">
        <v>8</v>
      </c>
      <c r="D68" s="1295">
        <v>218271.51209999999</v>
      </c>
      <c r="E68" s="1295">
        <v>23</v>
      </c>
      <c r="F68" s="1295">
        <v>809460.01639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164959664</v>
      </c>
      <c r="E73" s="449"/>
      <c r="F73" s="330"/>
    </row>
    <row r="74" spans="1:6">
      <c r="A74" s="1291" t="s">
        <v>63</v>
      </c>
      <c r="B74" s="1291" t="s">
        <v>664</v>
      </c>
      <c r="C74" s="1305" t="s">
        <v>666</v>
      </c>
      <c r="D74" s="1306">
        <v>12358402.237222841</v>
      </c>
      <c r="E74" s="449"/>
      <c r="F74" s="330"/>
    </row>
    <row r="75" spans="1:6">
      <c r="A75" s="1291" t="s">
        <v>64</v>
      </c>
      <c r="B75" s="1291" t="s">
        <v>663</v>
      </c>
      <c r="C75" s="1305" t="s">
        <v>667</v>
      </c>
      <c r="D75" s="1306">
        <v>49549175</v>
      </c>
      <c r="E75" s="449"/>
      <c r="F75" s="330"/>
    </row>
    <row r="76" spans="1:6">
      <c r="A76" s="1291" t="s">
        <v>64</v>
      </c>
      <c r="B76" s="1291" t="s">
        <v>664</v>
      </c>
      <c r="C76" s="1305" t="s">
        <v>668</v>
      </c>
      <c r="D76" s="1306">
        <v>2131059.237222841</v>
      </c>
      <c r="E76" s="449"/>
      <c r="F76" s="330"/>
    </row>
    <row r="77" spans="1:6">
      <c r="A77" s="1291" t="s">
        <v>65</v>
      </c>
      <c r="B77" s="1291" t="s">
        <v>663</v>
      </c>
      <c r="C77" s="1305" t="s">
        <v>669</v>
      </c>
      <c r="D77" s="1306">
        <v>44099352</v>
      </c>
      <c r="E77" s="449"/>
      <c r="F77" s="330"/>
    </row>
    <row r="78" spans="1:6">
      <c r="A78" s="1286" t="s">
        <v>65</v>
      </c>
      <c r="B78" s="1286" t="s">
        <v>664</v>
      </c>
      <c r="C78" s="1286" t="s">
        <v>670</v>
      </c>
      <c r="D78" s="1307">
        <v>18111805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772115.52555431786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9894.2260562038991</v>
      </c>
      <c r="C91" s="330"/>
      <c r="D91" s="330"/>
      <c r="E91" s="330"/>
      <c r="F91" s="330"/>
    </row>
    <row r="92" spans="1:6">
      <c r="A92" s="1286" t="s">
        <v>68</v>
      </c>
      <c r="B92" s="1287">
        <v>3674.3178731197459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4099</v>
      </c>
      <c r="C97" s="330"/>
      <c r="D97" s="330"/>
      <c r="E97" s="330"/>
      <c r="F97" s="330"/>
    </row>
    <row r="98" spans="1:6">
      <c r="A98" s="1291" t="s">
        <v>71</v>
      </c>
      <c r="B98" s="1292">
        <v>23</v>
      </c>
      <c r="C98" s="330"/>
      <c r="D98" s="330"/>
      <c r="E98" s="330"/>
      <c r="F98" s="330"/>
    </row>
    <row r="99" spans="1:6">
      <c r="A99" s="1291" t="s">
        <v>72</v>
      </c>
      <c r="B99" s="1292">
        <v>75</v>
      </c>
      <c r="C99" s="330"/>
      <c r="D99" s="330"/>
      <c r="E99" s="330"/>
      <c r="F99" s="330"/>
    </row>
    <row r="100" spans="1:6">
      <c r="A100" s="1291" t="s">
        <v>73</v>
      </c>
      <c r="B100" s="1292">
        <v>669</v>
      </c>
      <c r="C100" s="330"/>
      <c r="D100" s="330"/>
      <c r="E100" s="330"/>
      <c r="F100" s="330"/>
    </row>
    <row r="101" spans="1:6">
      <c r="A101" s="1291" t="s">
        <v>74</v>
      </c>
      <c r="B101" s="1292">
        <v>148</v>
      </c>
      <c r="C101" s="330"/>
      <c r="D101" s="330"/>
      <c r="E101" s="330"/>
      <c r="F101" s="330"/>
    </row>
    <row r="102" spans="1:6">
      <c r="A102" s="1291" t="s">
        <v>75</v>
      </c>
      <c r="B102" s="1292">
        <v>146</v>
      </c>
      <c r="C102" s="330"/>
      <c r="D102" s="330"/>
      <c r="E102" s="330"/>
      <c r="F102" s="330"/>
    </row>
    <row r="103" spans="1:6">
      <c r="A103" s="1291" t="s">
        <v>76</v>
      </c>
      <c r="B103" s="1292">
        <v>214</v>
      </c>
      <c r="C103" s="330"/>
      <c r="D103" s="330"/>
      <c r="E103" s="330"/>
      <c r="F103" s="330"/>
    </row>
    <row r="104" spans="1:6">
      <c r="A104" s="1291" t="s">
        <v>77</v>
      </c>
      <c r="B104" s="1292">
        <v>6977</v>
      </c>
      <c r="C104" s="330"/>
      <c r="D104" s="330"/>
      <c r="E104" s="330"/>
      <c r="F104" s="330"/>
    </row>
    <row r="105" spans="1:6">
      <c r="A105" s="1286" t="s">
        <v>78</v>
      </c>
      <c r="B105" s="1295">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2</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68</v>
      </c>
      <c r="C123" s="1292">
        <v>42</v>
      </c>
      <c r="D123" s="330"/>
      <c r="E123" s="330"/>
      <c r="F123" s="330"/>
    </row>
    <row r="124" spans="1:6" s="43" customFormat="1">
      <c r="A124" s="1293" t="s">
        <v>88</v>
      </c>
      <c r="B124" s="1314">
        <v>1</v>
      </c>
      <c r="C124" s="1314">
        <v>5</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423</v>
      </c>
      <c r="C129" s="330"/>
      <c r="D129" s="330"/>
      <c r="E129" s="330"/>
      <c r="F129" s="330"/>
    </row>
    <row r="130" spans="1:6">
      <c r="A130" s="1291" t="s">
        <v>294</v>
      </c>
      <c r="B130" s="1292">
        <v>4</v>
      </c>
      <c r="C130" s="330"/>
      <c r="D130" s="330"/>
      <c r="E130" s="330"/>
      <c r="F130" s="330"/>
    </row>
    <row r="131" spans="1:6">
      <c r="A131" s="1291" t="s">
        <v>295</v>
      </c>
      <c r="B131" s="1292">
        <v>0</v>
      </c>
      <c r="C131" s="330"/>
      <c r="D131" s="330"/>
      <c r="E131" s="330"/>
      <c r="F131" s="330"/>
    </row>
    <row r="132" spans="1:6">
      <c r="A132" s="1286" t="s">
        <v>296</v>
      </c>
      <c r="B132" s="1287">
        <v>60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207874.36140276238</v>
      </c>
      <c r="C3" s="43" t="s">
        <v>169</v>
      </c>
      <c r="D3" s="43"/>
      <c r="E3" s="154"/>
      <c r="F3" s="43"/>
      <c r="G3" s="43"/>
      <c r="H3" s="43"/>
      <c r="I3" s="43"/>
      <c r="J3" s="43"/>
      <c r="K3" s="96"/>
    </row>
    <row r="4" spans="1:11">
      <c r="A4" s="358" t="s">
        <v>170</v>
      </c>
      <c r="B4" s="49">
        <f>IF(ISERROR('SEAP template'!B78+'SEAP template'!C78),0,'SEAP template'!B78+'SEAP template'!C78)</f>
        <v>13593.293929323645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0.20657669077878499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1411.37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1411.37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0.20657669077878499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291.55614406445375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52574.631376999998</v>
      </c>
      <c r="C5" s="17">
        <f>IF(ISERROR('Eigen informatie GS &amp; warmtenet'!B57),0,'Eigen informatie GS &amp; warmtenet'!B57)</f>
        <v>0</v>
      </c>
      <c r="D5" s="30">
        <f>(SUM(HH_hh_gas_kWh,HH_rest_gas_kWh)/1000)*0.902</f>
        <v>125415.18137808</v>
      </c>
      <c r="E5" s="17">
        <f>B46*B57</f>
        <v>23877.555515585504</v>
      </c>
      <c r="F5" s="17">
        <f>B51*B62</f>
        <v>49357.939005052169</v>
      </c>
      <c r="G5" s="18"/>
      <c r="H5" s="17"/>
      <c r="I5" s="17"/>
      <c r="J5" s="17">
        <f>B50*B61+C50*C61</f>
        <v>0</v>
      </c>
      <c r="K5" s="17"/>
      <c r="L5" s="17"/>
      <c r="M5" s="17"/>
      <c r="N5" s="17">
        <f>B48*B59+C48*C59</f>
        <v>37654.108045051093</v>
      </c>
      <c r="O5" s="17">
        <f>B69*B70*B71</f>
        <v>734.76666666666665</v>
      </c>
      <c r="P5" s="17">
        <f>B77*B78*B79/1000-B77*B78*B79/1000/B80</f>
        <v>2459.6</v>
      </c>
    </row>
    <row r="6" spans="1:16">
      <c r="A6" s="16" t="s">
        <v>623</v>
      </c>
      <c r="B6" s="762">
        <f>kWh_PV_kleiner_dan_10kW</f>
        <v>9894.2260562038991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62468.857433203899</v>
      </c>
      <c r="C8" s="21">
        <f>C5</f>
        <v>0</v>
      </c>
      <c r="D8" s="21">
        <f>D5</f>
        <v>125415.18137808</v>
      </c>
      <c r="E8" s="21">
        <f>E5</f>
        <v>23877.555515585504</v>
      </c>
      <c r="F8" s="21">
        <f>F5</f>
        <v>49357.939005052169</v>
      </c>
      <c r="G8" s="21"/>
      <c r="H8" s="21"/>
      <c r="I8" s="21"/>
      <c r="J8" s="21">
        <f>J5</f>
        <v>0</v>
      </c>
      <c r="K8" s="21"/>
      <c r="L8" s="21">
        <f>L5</f>
        <v>0</v>
      </c>
      <c r="M8" s="21">
        <f>M5</f>
        <v>0</v>
      </c>
      <c r="N8" s="21">
        <f>N5</f>
        <v>37654.108045051093</v>
      </c>
      <c r="O8" s="21">
        <f>O5</f>
        <v>734.76666666666665</v>
      </c>
      <c r="P8" s="21">
        <f>P5</f>
        <v>2459.6</v>
      </c>
    </row>
    <row r="9" spans="1:16">
      <c r="B9" s="19"/>
      <c r="C9" s="19"/>
      <c r="D9" s="258"/>
      <c r="E9" s="19"/>
      <c r="F9" s="19"/>
      <c r="G9" s="19"/>
      <c r="H9" s="19"/>
      <c r="I9" s="19"/>
      <c r="J9" s="19"/>
      <c r="K9" s="19"/>
      <c r="L9" s="19"/>
      <c r="M9" s="19"/>
      <c r="N9" s="19"/>
      <c r="O9" s="19"/>
      <c r="P9" s="19"/>
    </row>
    <row r="10" spans="1:16">
      <c r="A10" s="24" t="s">
        <v>213</v>
      </c>
      <c r="B10" s="25">
        <f ca="1">'EF ele_warmte'!B12</f>
        <v>0.20657669077878499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12904.609845282966</v>
      </c>
      <c r="C12" s="23">
        <f ca="1">C10*C8</f>
        <v>0</v>
      </c>
      <c r="D12" s="23">
        <f>D8*D10</f>
        <v>25333.866638372161</v>
      </c>
      <c r="E12" s="23">
        <f>E10*E8</f>
        <v>5420.2051020379095</v>
      </c>
      <c r="F12" s="23">
        <f>F10*F8</f>
        <v>13178.569714348931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4099</v>
      </c>
      <c r="C18" s="166" t="s">
        <v>110</v>
      </c>
      <c r="D18" s="228"/>
      <c r="E18" s="15"/>
    </row>
    <row r="19" spans="1:7">
      <c r="A19" s="171" t="s">
        <v>71</v>
      </c>
      <c r="B19" s="37">
        <f>aantalw2001_ander</f>
        <v>23</v>
      </c>
      <c r="C19" s="166" t="s">
        <v>110</v>
      </c>
      <c r="D19" s="229"/>
      <c r="E19" s="15"/>
    </row>
    <row r="20" spans="1:7">
      <c r="A20" s="171" t="s">
        <v>72</v>
      </c>
      <c r="B20" s="37">
        <f>aantalw2001_propaan</f>
        <v>75</v>
      </c>
      <c r="C20" s="167">
        <f>IF(ISERROR(B20/SUM($B$20,$B$21,$B$22)*100),0,B20/SUM($B$20,$B$21,$B$22)*100)</f>
        <v>8.4080717488789247</v>
      </c>
      <c r="D20" s="229"/>
      <c r="E20" s="15"/>
    </row>
    <row r="21" spans="1:7">
      <c r="A21" s="171" t="s">
        <v>73</v>
      </c>
      <c r="B21" s="37">
        <f>aantalw2001_elektriciteit</f>
        <v>669</v>
      </c>
      <c r="C21" s="167">
        <f>IF(ISERROR(B21/SUM($B$20,$B$21,$B$22)*100),0,B21/SUM($B$20,$B$21,$B$22)*100)</f>
        <v>75</v>
      </c>
      <c r="D21" s="229"/>
      <c r="E21" s="15"/>
    </row>
    <row r="22" spans="1:7">
      <c r="A22" s="171" t="s">
        <v>74</v>
      </c>
      <c r="B22" s="37">
        <f>aantalw2001_hout</f>
        <v>148</v>
      </c>
      <c r="C22" s="167">
        <f>IF(ISERROR(B22/SUM($B$20,$B$21,$B$22)*100),0,B22/SUM($B$20,$B$21,$B$22)*100)</f>
        <v>16.591928251121075</v>
      </c>
      <c r="D22" s="229"/>
      <c r="E22" s="15"/>
    </row>
    <row r="23" spans="1:7">
      <c r="A23" s="171" t="s">
        <v>75</v>
      </c>
      <c r="B23" s="37">
        <f>aantalw2001_niet_gespec</f>
        <v>146</v>
      </c>
      <c r="C23" s="166" t="s">
        <v>110</v>
      </c>
      <c r="D23" s="228"/>
      <c r="E23" s="15"/>
    </row>
    <row r="24" spans="1:7">
      <c r="A24" s="171" t="s">
        <v>76</v>
      </c>
      <c r="B24" s="37">
        <f>aantalw2001_steenkool</f>
        <v>214</v>
      </c>
      <c r="C24" s="166" t="s">
        <v>110</v>
      </c>
      <c r="D24" s="229"/>
      <c r="E24" s="15"/>
    </row>
    <row r="25" spans="1:7">
      <c r="A25" s="171" t="s">
        <v>77</v>
      </c>
      <c r="B25" s="37">
        <f>aantalw2001_stookolie</f>
        <v>6977</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695</v>
      </c>
      <c r="B28" s="37">
        <f>aantalHuishoudens</f>
        <v>15191</v>
      </c>
      <c r="C28" s="36"/>
      <c r="D28" s="228"/>
    </row>
    <row r="29" spans="1:7" s="15" customFormat="1">
      <c r="A29" s="230" t="s">
        <v>696</v>
      </c>
      <c r="B29" s="37">
        <f>SUM(HH_hh_gas_aantal,HH_rest_gas_aantal)</f>
        <v>9161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9161</v>
      </c>
      <c r="C32" s="167">
        <f>IF(ISERROR(B32/SUM($B$32,$B$34,$B$35,$B$36,$B$38,$B$39)*100),0,B32/SUM($B$32,$B$34,$B$35,$B$36,$B$38,$B$39)*100)</f>
        <v>60.821935997875457</v>
      </c>
      <c r="D32" s="233"/>
      <c r="G32" s="15"/>
    </row>
    <row r="33" spans="1:7">
      <c r="A33" s="171" t="s">
        <v>71</v>
      </c>
      <c r="B33" s="34" t="s">
        <v>110</v>
      </c>
      <c r="C33" s="167"/>
      <c r="D33" s="233"/>
      <c r="G33" s="15"/>
    </row>
    <row r="34" spans="1:7">
      <c r="A34" s="171" t="s">
        <v>72</v>
      </c>
      <c r="B34" s="33">
        <f>IF((($B$28-$B$32-$B$39-$B$77-$B$38)*C20/100)&lt;0,0,($B$28-$B$32-$B$39-$B$77-$B$38)*C20/100)</f>
        <v>292.58408071748886</v>
      </c>
      <c r="C34" s="167">
        <f>IF(ISERROR(B34/SUM($B$32,$B$34,$B$35,$B$36,$B$38,$B$39)*100),0,B34/SUM($B$32,$B$34,$B$35,$B$36,$B$38,$B$39)*100)</f>
        <v>1.9425314082956371</v>
      </c>
      <c r="D34" s="233"/>
      <c r="G34" s="15"/>
    </row>
    <row r="35" spans="1:7">
      <c r="A35" s="171" t="s">
        <v>73</v>
      </c>
      <c r="B35" s="33">
        <f>IF((($B$28-$B$32-$B$39-$B$77-$B$38)*C21/100)&lt;0,0,($B$28-$B$32-$B$39-$B$77-$B$38)*C21/100)</f>
        <v>2609.85</v>
      </c>
      <c r="C35" s="167">
        <f>IF(ISERROR(B35/SUM($B$32,$B$34,$B$35,$B$36,$B$38,$B$39)*100),0,B35/SUM($B$32,$B$34,$B$35,$B$36,$B$38,$B$39)*100)</f>
        <v>17.327380161997077</v>
      </c>
      <c r="D35" s="233"/>
      <c r="G35" s="15"/>
    </row>
    <row r="36" spans="1:7">
      <c r="A36" s="171" t="s">
        <v>74</v>
      </c>
      <c r="B36" s="33">
        <f>IF((($B$28-$B$32-$B$39-$B$77-$B$38)*C22/100)&lt;0,0,($B$28-$B$32-$B$39-$B$77-$B$38)*C22/100)</f>
        <v>577.36591928251119</v>
      </c>
      <c r="C36" s="167">
        <f>IF(ISERROR(B36/SUM($B$32,$B$34,$B$35,$B$36,$B$38,$B$39)*100),0,B36/SUM($B$32,$B$34,$B$35,$B$36,$B$38,$B$39)*100)</f>
        <v>3.8332619790367231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2421.1999999999998</v>
      </c>
      <c r="C39" s="167">
        <f>IF(ISERROR(B39/SUM($B$32,$B$34,$B$35,$B$36,$B$38,$B$39)*100),0,B39/SUM($B$32,$B$34,$B$35,$B$36,$B$38,$B$39)*100)</f>
        <v>16.074890452795113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9161</v>
      </c>
      <c r="C44" s="34" t="s">
        <v>110</v>
      </c>
      <c r="D44" s="174"/>
    </row>
    <row r="45" spans="1:7">
      <c r="A45" s="171" t="s">
        <v>71</v>
      </c>
      <c r="B45" s="33" t="str">
        <f t="shared" si="0"/>
        <v>-</v>
      </c>
      <c r="C45" s="34" t="s">
        <v>110</v>
      </c>
      <c r="D45" s="174"/>
    </row>
    <row r="46" spans="1:7">
      <c r="A46" s="171" t="s">
        <v>72</v>
      </c>
      <c r="B46" s="33">
        <f t="shared" si="0"/>
        <v>292.58408071748886</v>
      </c>
      <c r="C46" s="34" t="s">
        <v>110</v>
      </c>
      <c r="D46" s="174"/>
    </row>
    <row r="47" spans="1:7">
      <c r="A47" s="171" t="s">
        <v>73</v>
      </c>
      <c r="B47" s="33">
        <f t="shared" si="0"/>
        <v>2609.85</v>
      </c>
      <c r="C47" s="34" t="s">
        <v>110</v>
      </c>
      <c r="D47" s="174"/>
    </row>
    <row r="48" spans="1:7">
      <c r="A48" s="171" t="s">
        <v>74</v>
      </c>
      <c r="B48" s="33">
        <f t="shared" si="0"/>
        <v>577.36591928251119</v>
      </c>
      <c r="C48" s="33">
        <f>B48*10</f>
        <v>5773.6591928251119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2421.1999999999998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470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73735.283101599998</v>
      </c>
      <c r="C5" s="17">
        <f>IF(ISERROR('Eigen informatie GS &amp; warmtenet'!B58),0,'Eigen informatie GS &amp; warmtenet'!B58)</f>
        <v>0</v>
      </c>
      <c r="D5" s="30">
        <f>SUM(D6:D12)</f>
        <v>100106.8381900862</v>
      </c>
      <c r="E5" s="17">
        <f>SUM(E6:E12)</f>
        <v>1321.5918897202789</v>
      </c>
      <c r="F5" s="17">
        <f>SUM(F6:F12)</f>
        <v>19980.523176057628</v>
      </c>
      <c r="G5" s="18"/>
      <c r="H5" s="17"/>
      <c r="I5" s="17"/>
      <c r="J5" s="17">
        <f>SUM(J6:J12)</f>
        <v>0</v>
      </c>
      <c r="K5" s="17"/>
      <c r="L5" s="17"/>
      <c r="M5" s="17"/>
      <c r="N5" s="17">
        <f>SUM(N6:N12)</f>
        <v>6431.613394146023</v>
      </c>
      <c r="O5" s="17">
        <f>B38*B39*B40</f>
        <v>6.2533333333333339</v>
      </c>
      <c r="P5" s="17">
        <f>B46*B47*B48/1000-B46*B47*B48/1000/B49</f>
        <v>19.066666666666666</v>
      </c>
      <c r="R5" s="32"/>
    </row>
    <row r="6" spans="1:18">
      <c r="A6" s="32" t="s">
        <v>53</v>
      </c>
      <c r="B6" s="37">
        <f>B26</f>
        <v>30331.479243000002</v>
      </c>
      <c r="C6" s="33"/>
      <c r="D6" s="37">
        <f>IF(ISERROR(TER_kantoor_gas_kWh/1000),0,TER_kantoor_gas_kWh/1000)*0.902</f>
        <v>51662.080974680008</v>
      </c>
      <c r="E6" s="33">
        <f>$C$26*'E Balans VL '!I12/100/3.6*1000000</f>
        <v>397.07642625551716</v>
      </c>
      <c r="F6" s="33">
        <f>$C$26*('E Balans VL '!L12+'E Balans VL '!N12)/100/3.6*1000000</f>
        <v>7734.2137731667908</v>
      </c>
      <c r="G6" s="34"/>
      <c r="H6" s="33"/>
      <c r="I6" s="33"/>
      <c r="J6" s="33">
        <f>$C$26*('E Balans VL '!D12+'E Balans VL '!E12)/100/3.6*1000000</f>
        <v>0</v>
      </c>
      <c r="K6" s="33"/>
      <c r="L6" s="33"/>
      <c r="M6" s="33"/>
      <c r="N6" s="33">
        <f>$C$26*'E Balans VL '!Y12/100/3.6*1000000</f>
        <v>30.433618874711563</v>
      </c>
      <c r="O6" s="33"/>
      <c r="P6" s="33"/>
      <c r="R6" s="32"/>
    </row>
    <row r="7" spans="1:18">
      <c r="A7" s="32" t="s">
        <v>52</v>
      </c>
      <c r="B7" s="37">
        <f t="shared" ref="B7:B12" si="0">B27</f>
        <v>9889.1928561000004</v>
      </c>
      <c r="C7" s="33"/>
      <c r="D7" s="37">
        <f>IF(ISERROR(TER_horeca_gas_kWh/1000),0,TER_horeca_gas_kWh/1000)*0.902</f>
        <v>22086.730074156003</v>
      </c>
      <c r="E7" s="33">
        <f>$C$27*'E Balans VL '!I9/100/3.6*1000000</f>
        <v>327.27212959468699</v>
      </c>
      <c r="F7" s="33">
        <f>$C$27*('E Balans VL '!L9+'E Balans VL '!N9)/100/3.6*1000000</f>
        <v>4252.3150281452181</v>
      </c>
      <c r="G7" s="34"/>
      <c r="H7" s="33"/>
      <c r="I7" s="33"/>
      <c r="J7" s="33">
        <f>$C$27*('E Balans VL '!D9+'E Balans VL '!E9)/100/3.6*1000000</f>
        <v>0</v>
      </c>
      <c r="K7" s="33"/>
      <c r="L7" s="33"/>
      <c r="M7" s="33"/>
      <c r="N7" s="33">
        <f>$C$27*'E Balans VL '!Y9/100/3.6*1000000</f>
        <v>2.3804723273030821</v>
      </c>
      <c r="O7" s="33"/>
      <c r="P7" s="33"/>
      <c r="R7" s="32"/>
    </row>
    <row r="8" spans="1:18">
      <c r="A8" s="6" t="s">
        <v>51</v>
      </c>
      <c r="B8" s="37">
        <f t="shared" si="0"/>
        <v>14353.035583000001</v>
      </c>
      <c r="C8" s="33"/>
      <c r="D8" s="37">
        <f>IF(ISERROR(TER_handel_gas_kWh/1000),0,TER_handel_gas_kWh/1000)*0.902</f>
        <v>8773.2645634348009</v>
      </c>
      <c r="E8" s="33">
        <f>$C$28*'E Balans VL '!I13/100/3.6*1000000</f>
        <v>453.00373378504628</v>
      </c>
      <c r="F8" s="33">
        <f>$C$28*('E Balans VL '!L13+'E Balans VL '!N13)/100/3.6*1000000</f>
        <v>2814.8830190913477</v>
      </c>
      <c r="G8" s="34"/>
      <c r="H8" s="33"/>
      <c r="I8" s="33"/>
      <c r="J8" s="33">
        <f>$C$28*('E Balans VL '!D13+'E Balans VL '!E13)/100/3.6*1000000</f>
        <v>0</v>
      </c>
      <c r="K8" s="33"/>
      <c r="L8" s="33"/>
      <c r="M8" s="33"/>
      <c r="N8" s="33">
        <f>$C$28*'E Balans VL '!Y13/100/3.6*1000000</f>
        <v>17.034266629372258</v>
      </c>
      <c r="O8" s="33"/>
      <c r="P8" s="33"/>
      <c r="R8" s="32"/>
    </row>
    <row r="9" spans="1:18">
      <c r="A9" s="32" t="s">
        <v>50</v>
      </c>
      <c r="B9" s="37">
        <f t="shared" si="0"/>
        <v>1726.2857008000001</v>
      </c>
      <c r="C9" s="33"/>
      <c r="D9" s="37">
        <f>IF(ISERROR(TER_gezond_gas_kWh/1000),0,TER_gezond_gas_kWh/1000)*0.902</f>
        <v>6890.9606162320006</v>
      </c>
      <c r="E9" s="33">
        <f>$C$29*'E Balans VL '!I10/100/3.6*1000000</f>
        <v>0.22101507107004623</v>
      </c>
      <c r="F9" s="33">
        <f>$C$29*('E Balans VL '!L10+'E Balans VL '!N10)/100/3.6*1000000</f>
        <v>359.65766674124171</v>
      </c>
      <c r="G9" s="34"/>
      <c r="H9" s="33"/>
      <c r="I9" s="33"/>
      <c r="J9" s="33">
        <f>$C$29*('E Balans VL '!D10+'E Balans VL '!E10)/100/3.6*1000000</f>
        <v>0</v>
      </c>
      <c r="K9" s="33"/>
      <c r="L9" s="33"/>
      <c r="M9" s="33"/>
      <c r="N9" s="33">
        <f>$C$29*'E Balans VL '!Y10/100/3.6*1000000</f>
        <v>20.276041505787727</v>
      </c>
      <c r="O9" s="33"/>
      <c r="P9" s="33"/>
      <c r="R9" s="32"/>
    </row>
    <row r="10" spans="1:18">
      <c r="A10" s="32" t="s">
        <v>49</v>
      </c>
      <c r="B10" s="37">
        <f t="shared" si="0"/>
        <v>7251.4526968</v>
      </c>
      <c r="C10" s="33"/>
      <c r="D10" s="37">
        <f>IF(ISERROR(TER_ander_gas_kWh/1000),0,TER_ander_gas_kWh/1000)*0.902</f>
        <v>3801.3288546133999</v>
      </c>
      <c r="E10" s="33">
        <f>$C$30*'E Balans VL '!I14/100/3.6*1000000</f>
        <v>10.904479563850478</v>
      </c>
      <c r="F10" s="33">
        <f>$C$30*('E Balans VL '!L14+'E Balans VL '!N14)/100/3.6*1000000</f>
        <v>1600.8870077981844</v>
      </c>
      <c r="G10" s="34"/>
      <c r="H10" s="33"/>
      <c r="I10" s="33"/>
      <c r="J10" s="33">
        <f>$C$30*('E Balans VL '!D14+'E Balans VL '!E14)/100/3.6*1000000</f>
        <v>0</v>
      </c>
      <c r="K10" s="33"/>
      <c r="L10" s="33"/>
      <c r="M10" s="33"/>
      <c r="N10" s="33">
        <f>$C$30*'E Balans VL '!Y14/100/3.6*1000000</f>
        <v>5714.6327294452994</v>
      </c>
      <c r="O10" s="33"/>
      <c r="P10" s="33"/>
      <c r="R10" s="32"/>
    </row>
    <row r="11" spans="1:18">
      <c r="A11" s="32" t="s">
        <v>54</v>
      </c>
      <c r="B11" s="37">
        <f t="shared" si="0"/>
        <v>2914.8938008</v>
      </c>
      <c r="C11" s="33"/>
      <c r="D11" s="37">
        <f>IF(ISERROR(TER_onderwijs_gas_kWh/1000),0,TER_onderwijs_gas_kWh/1000)*0.902</f>
        <v>3222.0038970394003</v>
      </c>
      <c r="E11" s="33">
        <f>$C$31*'E Balans VL '!I11/100/3.6*1000000</f>
        <v>5.1333722504649621</v>
      </c>
      <c r="F11" s="33">
        <f>$C$31*('E Balans VL '!L11+'E Balans VL '!N11)/100/3.6*1000000</f>
        <v>1345.8592127454492</v>
      </c>
      <c r="G11" s="34"/>
      <c r="H11" s="33"/>
      <c r="I11" s="33"/>
      <c r="J11" s="33">
        <f>$C$31*('E Balans VL '!D11+'E Balans VL '!E11)/100/3.6*1000000</f>
        <v>0</v>
      </c>
      <c r="K11" s="33"/>
      <c r="L11" s="33"/>
      <c r="M11" s="33"/>
      <c r="N11" s="33">
        <f>$C$31*'E Balans VL '!Y11/100/3.6*1000000</f>
        <v>5.4304874603117357</v>
      </c>
      <c r="O11" s="33"/>
      <c r="P11" s="33"/>
      <c r="R11" s="32"/>
    </row>
    <row r="12" spans="1:18">
      <c r="A12" s="32" t="s">
        <v>259</v>
      </c>
      <c r="B12" s="37">
        <f t="shared" si="0"/>
        <v>7268.9432210999994</v>
      </c>
      <c r="C12" s="33"/>
      <c r="D12" s="37">
        <f>IF(ISERROR(TER_rest_gas_kWh/1000),0,TER_rest_gas_kWh/1000)*0.902</f>
        <v>3670.4692099306003</v>
      </c>
      <c r="E12" s="33">
        <f>$C$32*'E Balans VL '!I8/100/3.6*1000000</f>
        <v>127.98073319964298</v>
      </c>
      <c r="F12" s="33">
        <f>$C$32*('E Balans VL '!L8+'E Balans VL '!N8)/100/3.6*1000000</f>
        <v>1872.7074683693957</v>
      </c>
      <c r="G12" s="34"/>
      <c r="H12" s="33"/>
      <c r="I12" s="33"/>
      <c r="J12" s="33">
        <f>$C$32*('E Balans VL '!D8+'E Balans VL '!E8)/100/3.6*1000000</f>
        <v>0</v>
      </c>
      <c r="K12" s="33"/>
      <c r="L12" s="33"/>
      <c r="M12" s="33"/>
      <c r="N12" s="33">
        <f>$C$32*'E Balans VL '!Y8/100/3.6*1000000</f>
        <v>641.42577790323708</v>
      </c>
      <c r="O12" s="33"/>
      <c r="P12" s="33"/>
      <c r="R12" s="32"/>
    </row>
    <row r="13" spans="1:18">
      <c r="A13" s="16" t="s">
        <v>490</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73760.033101599998</v>
      </c>
      <c r="C16" s="21">
        <f t="shared" ca="1" si="1"/>
        <v>35.357142857142861</v>
      </c>
      <c r="D16" s="21">
        <f t="shared" ca="1" si="1"/>
        <v>100036.12390437191</v>
      </c>
      <c r="E16" s="21">
        <f t="shared" si="1"/>
        <v>1321.5918897202789</v>
      </c>
      <c r="F16" s="21">
        <f t="shared" ca="1" si="1"/>
        <v>19980.523176057628</v>
      </c>
      <c r="G16" s="21">
        <f t="shared" si="1"/>
        <v>0</v>
      </c>
      <c r="H16" s="21">
        <f t="shared" si="1"/>
        <v>0</v>
      </c>
      <c r="I16" s="21">
        <f t="shared" si="1"/>
        <v>0</v>
      </c>
      <c r="J16" s="21">
        <f t="shared" si="1"/>
        <v>0</v>
      </c>
      <c r="K16" s="21">
        <f t="shared" si="1"/>
        <v>0</v>
      </c>
      <c r="L16" s="21">
        <f t="shared" ca="1" si="1"/>
        <v>0</v>
      </c>
      <c r="M16" s="21">
        <f t="shared" si="1"/>
        <v>0</v>
      </c>
      <c r="N16" s="21">
        <f t="shared" ca="1" si="1"/>
        <v>6431.613394146023</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0.20657669077878499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15237.103549862168</v>
      </c>
      <c r="C20" s="23">
        <f t="shared" ref="C20:P20" ca="1" si="2">C16*C18</f>
        <v>8.4025210084033635</v>
      </c>
      <c r="D20" s="23">
        <f t="shared" ca="1" si="2"/>
        <v>20207.297028683126</v>
      </c>
      <c r="E20" s="23">
        <f t="shared" si="2"/>
        <v>300.00135896650335</v>
      </c>
      <c r="F20" s="23">
        <f t="shared" ca="1" si="2"/>
        <v>5334.799688007387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30331.479243000002</v>
      </c>
      <c r="C26" s="39">
        <f>IF(ISERROR(B26*3.6/1000000/'E Balans VL '!Z12*100),0,B26*3.6/1000000/'E Balans VL '!Z12*100)</f>
        <v>0.64972384899372804</v>
      </c>
      <c r="D26" s="237" t="s">
        <v>659</v>
      </c>
      <c r="F26" s="6"/>
    </row>
    <row r="27" spans="1:18">
      <c r="A27" s="231" t="s">
        <v>52</v>
      </c>
      <c r="B27" s="33">
        <f>IF(ISERROR(TER_horeca_ele_kWh/1000),0,TER_horeca_ele_kWh/1000)</f>
        <v>9889.1928561000004</v>
      </c>
      <c r="C27" s="39">
        <f>IF(ISERROR(B27*3.6/1000000/'E Balans VL '!Z9*100),0,B27*3.6/1000000/'E Balans VL '!Z9*100)</f>
        <v>0.79357335221852332</v>
      </c>
      <c r="D27" s="237" t="s">
        <v>659</v>
      </c>
      <c r="F27" s="6"/>
    </row>
    <row r="28" spans="1:18">
      <c r="A28" s="171" t="s">
        <v>51</v>
      </c>
      <c r="B28" s="33">
        <f>IF(ISERROR(TER_handel_ele_kWh/1000),0,TER_handel_ele_kWh/1000)</f>
        <v>14353.035583000001</v>
      </c>
      <c r="C28" s="39">
        <f>IF(ISERROR(B28*3.6/1000000/'E Balans VL '!Z13*100),0,B28*3.6/1000000/'E Balans VL '!Z13*100)</f>
        <v>0.42333222397010251</v>
      </c>
      <c r="D28" s="237" t="s">
        <v>659</v>
      </c>
      <c r="F28" s="6"/>
    </row>
    <row r="29" spans="1:18">
      <c r="A29" s="231" t="s">
        <v>50</v>
      </c>
      <c r="B29" s="33">
        <f>IF(ISERROR(TER_gezond_ele_kWh/1000),0,TER_gezond_ele_kWh/1000)</f>
        <v>1726.2857008000001</v>
      </c>
      <c r="C29" s="39">
        <f>IF(ISERROR(B29*3.6/1000000/'E Balans VL '!Z10*100),0,B29*3.6/1000000/'E Balans VL '!Z10*100)</f>
        <v>0.18432102939018627</v>
      </c>
      <c r="D29" s="237" t="s">
        <v>659</v>
      </c>
      <c r="F29" s="6"/>
    </row>
    <row r="30" spans="1:18">
      <c r="A30" s="231" t="s">
        <v>49</v>
      </c>
      <c r="B30" s="33">
        <f>IF(ISERROR(TER_ander_ele_kWh/1000),0,TER_ander_ele_kWh/1000)</f>
        <v>7251.4526968</v>
      </c>
      <c r="C30" s="39">
        <f>IF(ISERROR(B30*3.6/1000000/'E Balans VL '!Z14*100),0,B30*3.6/1000000/'E Balans VL '!Z14*100)</f>
        <v>0.54773069749544523</v>
      </c>
      <c r="D30" s="237" t="s">
        <v>659</v>
      </c>
      <c r="F30" s="6"/>
    </row>
    <row r="31" spans="1:18">
      <c r="A31" s="231" t="s">
        <v>54</v>
      </c>
      <c r="B31" s="33">
        <f>IF(ISERROR(TER_onderwijs_ele_kWh/1000),0,TER_onderwijs_ele_kWh/1000)</f>
        <v>2914.8938008</v>
      </c>
      <c r="C31" s="39">
        <f>IF(ISERROR(B31*3.6/1000000/'E Balans VL '!Z11*100),0,B31*3.6/1000000/'E Balans VL '!Z11*100)</f>
        <v>0.58861436505394094</v>
      </c>
      <c r="D31" s="237" t="s">
        <v>659</v>
      </c>
    </row>
    <row r="32" spans="1:18">
      <c r="A32" s="231" t="s">
        <v>259</v>
      </c>
      <c r="B32" s="33">
        <f>IF(ISERROR(TER_rest_ele_kWh/1000),0,TER_rest_ele_kWh/1000)</f>
        <v>7268.9432210999994</v>
      </c>
      <c r="C32" s="39">
        <f>IF(ISERROR(B32*3.6/1000000/'E Balans VL '!Z8*100),0,B32*3.6/1000000/'E Balans VL '!Z8*100)</f>
        <v>6.0269661233333549E-2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64971.684437950702</v>
      </c>
      <c r="C5" s="17">
        <f>IF(ISERROR('Eigen informatie GS &amp; warmtenet'!B59),0,'Eigen informatie GS &amp; warmtenet'!B59)</f>
        <v>0</v>
      </c>
      <c r="D5" s="30">
        <f>SUM(D6:D15)</f>
        <v>17209.452915299698</v>
      </c>
      <c r="E5" s="17">
        <f>SUM(E6:E15)</f>
        <v>4961.3790619243964</v>
      </c>
      <c r="F5" s="17">
        <f>SUM(F6:F15)</f>
        <v>19117.358021653381</v>
      </c>
      <c r="G5" s="18"/>
      <c r="H5" s="17"/>
      <c r="I5" s="17"/>
      <c r="J5" s="17">
        <f>SUM(J6:J15)</f>
        <v>456.86555398410991</v>
      </c>
      <c r="K5" s="17"/>
      <c r="L5" s="17"/>
      <c r="M5" s="17"/>
      <c r="N5" s="17">
        <f>SUM(N6:N15)</f>
        <v>4109.5505880239225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999.31021970000006</v>
      </c>
      <c r="C8" s="33"/>
      <c r="D8" s="37">
        <f>IF( ISERROR(IND_metaal_Gas_kWH/1000),0,IND_metaal_Gas_kWH/1000)*0.902</f>
        <v>0</v>
      </c>
      <c r="E8" s="33">
        <f>C30*'E Balans VL '!I18/100/3.6*1000000</f>
        <v>35.958204823151753</v>
      </c>
      <c r="F8" s="33">
        <f>C30*'E Balans VL '!L18/100/3.6*1000000+C30*'E Balans VL '!N18/100/3.6*1000000</f>
        <v>436.36637879094997</v>
      </c>
      <c r="G8" s="34"/>
      <c r="H8" s="33"/>
      <c r="I8" s="33"/>
      <c r="J8" s="40">
        <f>C30*'E Balans VL '!D18/100/3.6*1000000+C30*'E Balans VL '!E18/100/3.6*1000000</f>
        <v>0</v>
      </c>
      <c r="K8" s="33"/>
      <c r="L8" s="33"/>
      <c r="M8" s="33"/>
      <c r="N8" s="33">
        <f>C30*'E Balans VL '!Y18/100/3.6*1000000</f>
        <v>50.084749108112199</v>
      </c>
      <c r="O8" s="33"/>
      <c r="P8" s="33"/>
      <c r="R8" s="32"/>
    </row>
    <row r="9" spans="1:18">
      <c r="A9" s="6" t="s">
        <v>32</v>
      </c>
      <c r="B9" s="37">
        <f t="shared" si="0"/>
        <v>7388.1598859000005</v>
      </c>
      <c r="C9" s="33"/>
      <c r="D9" s="37">
        <f>IF( ISERROR(IND_andere_gas_kWh/1000),0,IND_andere_gas_kWh/1000)*0.902</f>
        <v>8135.2869598879988</v>
      </c>
      <c r="E9" s="33">
        <f>C31*'E Balans VL '!I19/100/3.6*1000000</f>
        <v>1885.2912410822335</v>
      </c>
      <c r="F9" s="33">
        <f>C31*'E Balans VL '!L19/100/3.6*1000000+C31*'E Balans VL '!N19/100/3.6*1000000</f>
        <v>6360.6503460740578</v>
      </c>
      <c r="G9" s="34"/>
      <c r="H9" s="33"/>
      <c r="I9" s="33"/>
      <c r="J9" s="40">
        <f>C31*'E Balans VL '!D19/100/3.6*1000000+C31*'E Balans VL '!E19/100/3.6*1000000</f>
        <v>0</v>
      </c>
      <c r="K9" s="33"/>
      <c r="L9" s="33"/>
      <c r="M9" s="33"/>
      <c r="N9" s="33">
        <f>C31*'E Balans VL '!Y19/100/3.6*1000000</f>
        <v>582.83936084654499</v>
      </c>
      <c r="O9" s="33"/>
      <c r="P9" s="33"/>
      <c r="R9" s="32"/>
    </row>
    <row r="10" spans="1:18">
      <c r="A10" s="6" t="s">
        <v>40</v>
      </c>
      <c r="B10" s="37">
        <f t="shared" si="0"/>
        <v>892.21960086000001</v>
      </c>
      <c r="C10" s="33"/>
      <c r="D10" s="37">
        <f>IF( ISERROR(IND_voed_gas_kWh/1000),0,IND_voed_gas_kWh/1000)*0.902</f>
        <v>612.2449188713</v>
      </c>
      <c r="E10" s="33">
        <f>C32*'E Balans VL '!I20/100/3.6*1000000</f>
        <v>22.681447371769522</v>
      </c>
      <c r="F10" s="33">
        <f>C32*'E Balans VL '!L20/100/3.6*1000000+C32*'E Balans VL '!N20/100/3.6*1000000</f>
        <v>201.89590230336401</v>
      </c>
      <c r="G10" s="34"/>
      <c r="H10" s="33"/>
      <c r="I10" s="33"/>
      <c r="J10" s="40">
        <f>C32*'E Balans VL '!D20/100/3.6*1000000+C32*'E Balans VL '!E20/100/3.6*1000000</f>
        <v>0</v>
      </c>
      <c r="K10" s="33"/>
      <c r="L10" s="33"/>
      <c r="M10" s="33"/>
      <c r="N10" s="33">
        <f>C32*'E Balans VL '!Y20/100/3.6*1000000</f>
        <v>334.60653488604873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92.482423288000007</v>
      </c>
      <c r="C13" s="33"/>
      <c r="D13" s="37">
        <f>IF( ISERROR(IND_papier_gas_kWh/1000),0,IND_papier_gas_kWh/1000)*0.902</f>
        <v>0</v>
      </c>
      <c r="E13" s="33">
        <f>C35*'E Balans VL '!I23/100/3.6*1000000</f>
        <v>0.39663020870062976</v>
      </c>
      <c r="F13" s="33">
        <f>C35*'E Balans VL '!L23/100/3.6*1000000+C35*'E Balans VL '!N23/100/3.6*1000000</f>
        <v>2.3243703443958905</v>
      </c>
      <c r="G13" s="34"/>
      <c r="H13" s="33"/>
      <c r="I13" s="33"/>
      <c r="J13" s="40">
        <f>C35*'E Balans VL '!D23/100/3.6*1000000+C35*'E Balans VL '!E23/100/3.6*1000000</f>
        <v>6.1911909939058836</v>
      </c>
      <c r="K13" s="33"/>
      <c r="L13" s="33"/>
      <c r="M13" s="33"/>
      <c r="N13" s="33">
        <f>C35*'E Balans VL '!Y23/100/3.6*1000000</f>
        <v>22.553101382595131</v>
      </c>
      <c r="O13" s="33"/>
      <c r="P13" s="33"/>
      <c r="R13" s="32"/>
    </row>
    <row r="14" spans="1:18">
      <c r="A14" s="6" t="s">
        <v>33</v>
      </c>
      <c r="B14" s="37">
        <f t="shared" si="0"/>
        <v>9.5358052026999989</v>
      </c>
      <c r="C14" s="33"/>
      <c r="D14" s="37">
        <f>IF( ISERROR(IND_chemie_gas_kWh/1000),0,IND_chemie_gas_kWh/1000)*0.902</f>
        <v>0</v>
      </c>
      <c r="E14" s="33">
        <f>C36*'E Balans VL '!I24/100/3.6*1000000</f>
        <v>2.2860599315258485E-2</v>
      </c>
      <c r="F14" s="33">
        <f>C36*'E Balans VL '!L24/100/3.6*1000000+C36*'E Balans VL '!N24/100/3.6*1000000</f>
        <v>7.6526993791131342E-2</v>
      </c>
      <c r="G14" s="34"/>
      <c r="H14" s="33"/>
      <c r="I14" s="33"/>
      <c r="J14" s="40">
        <f>C36*'E Balans VL '!D24/100/3.6*1000000+C36*'E Balans VL '!E24/100/3.6*1000000</f>
        <v>0</v>
      </c>
      <c r="K14" s="33"/>
      <c r="L14" s="33"/>
      <c r="M14" s="33"/>
      <c r="N14" s="33">
        <f>C36*'E Balans VL '!Y24/100/3.6*1000000</f>
        <v>0.19709770080405187</v>
      </c>
      <c r="O14" s="33"/>
      <c r="P14" s="33"/>
      <c r="R14" s="32"/>
    </row>
    <row r="15" spans="1:18">
      <c r="A15" s="6" t="s">
        <v>269</v>
      </c>
      <c r="B15" s="37">
        <f t="shared" si="0"/>
        <v>55589.976502999998</v>
      </c>
      <c r="C15" s="33"/>
      <c r="D15" s="37">
        <f>IF( ISERROR(IND_rest_gas_kWh/1000),0,IND_rest_gas_kWh/1000)*0.902</f>
        <v>8461.9210365403997</v>
      </c>
      <c r="E15" s="33">
        <f>C37*'E Balans VL '!I15/100/3.6*1000000</f>
        <v>3017.028677839226</v>
      </c>
      <c r="F15" s="33">
        <f>C37*'E Balans VL '!L15/100/3.6*1000000+C37*'E Balans VL '!N15/100/3.6*1000000</f>
        <v>12116.044497146824</v>
      </c>
      <c r="G15" s="34"/>
      <c r="H15" s="33"/>
      <c r="I15" s="33"/>
      <c r="J15" s="40">
        <f>C37*'E Balans VL '!D15/100/3.6*1000000+C37*'E Balans VL '!E15/100/3.6*1000000</f>
        <v>450.67436299020403</v>
      </c>
      <c r="K15" s="33"/>
      <c r="L15" s="33"/>
      <c r="M15" s="33"/>
      <c r="N15" s="33">
        <f>C37*'E Balans VL '!Y15/100/3.6*1000000</f>
        <v>3119.2697440998177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64971.684437950702</v>
      </c>
      <c r="C18" s="21">
        <f>C5+C16</f>
        <v>0</v>
      </c>
      <c r="D18" s="21">
        <f>MAX((D5+D16),0)</f>
        <v>17209.452915299698</v>
      </c>
      <c r="E18" s="21">
        <f>MAX((E5+E16),0)</f>
        <v>4961.3790619243964</v>
      </c>
      <c r="F18" s="21">
        <f>MAX((F5+F16),0)</f>
        <v>19117.358021653381</v>
      </c>
      <c r="G18" s="21"/>
      <c r="H18" s="21"/>
      <c r="I18" s="21"/>
      <c r="J18" s="21">
        <f>MAX((J5+J16),0)</f>
        <v>456.86555398410991</v>
      </c>
      <c r="K18" s="21"/>
      <c r="L18" s="21">
        <f>MAX((L5+L16),0)</f>
        <v>0</v>
      </c>
      <c r="M18" s="21"/>
      <c r="N18" s="21">
        <f>MAX((N5+N16),0)</f>
        <v>4109.5505880239225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0.20657669077878499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13421.635565515338</v>
      </c>
      <c r="C22" s="23">
        <f ca="1">C18*C20</f>
        <v>0</v>
      </c>
      <c r="D22" s="23">
        <f>D18*D20</f>
        <v>3476.3094888905393</v>
      </c>
      <c r="E22" s="23">
        <f>E18*E20</f>
        <v>1126.2330470568381</v>
      </c>
      <c r="F22" s="23">
        <f>F18*F20</f>
        <v>5104.3345917814531</v>
      </c>
      <c r="G22" s="23"/>
      <c r="H22" s="23"/>
      <c r="I22" s="23"/>
      <c r="J22" s="23">
        <f>J18*J20</f>
        <v>161.7304061103749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999.31021970000006</v>
      </c>
      <c r="C30" s="39">
        <f>IF(ISERROR(B30*3.6/1000000/'E Balans VL '!Z18*100),0,B30*3.6/1000000/'E Balans VL '!Z18*100)</f>
        <v>0.21173241090797781</v>
      </c>
      <c r="D30" s="237" t="s">
        <v>659</v>
      </c>
    </row>
    <row r="31" spans="1:18">
      <c r="A31" s="6" t="s">
        <v>32</v>
      </c>
      <c r="B31" s="37">
        <f>IF( ISERROR(IND_ander_ele_kWh/1000),0,IND_ander_ele_kWh/1000)</f>
        <v>7388.1598859000005</v>
      </c>
      <c r="C31" s="39">
        <f>IF(ISERROR(B31*3.6/1000000/'E Balans VL '!Z19*100),0,B31*3.6/1000000/'E Balans VL '!Z19*100)</f>
        <v>0.3109844256346046</v>
      </c>
      <c r="D31" s="237" t="s">
        <v>659</v>
      </c>
    </row>
    <row r="32" spans="1:18">
      <c r="A32" s="171" t="s">
        <v>40</v>
      </c>
      <c r="B32" s="37">
        <f>IF( ISERROR(IND_voed_ele_kWh/1000),0,IND_voed_ele_kWh/1000)</f>
        <v>892.21960086000001</v>
      </c>
      <c r="C32" s="39">
        <f>IF(ISERROR(B32*3.6/1000000/'E Balans VL '!Z20*100),0,B32*3.6/1000000/'E Balans VL '!Z20*100)</f>
        <v>0.149055379094162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92.482423288000007</v>
      </c>
      <c r="C35" s="39">
        <f>IF(ISERROR(B35*3.6/1000000/'E Balans VL '!Z22*100),0,B35*3.6/1000000/'E Balans VL '!Z22*100)</f>
        <v>1.1722645907989734E-2</v>
      </c>
      <c r="D35" s="237" t="s">
        <v>659</v>
      </c>
    </row>
    <row r="36" spans="1:5">
      <c r="A36" s="171" t="s">
        <v>33</v>
      </c>
      <c r="B36" s="37">
        <f>IF( ISERROR(IND_chemie_ele_kWh/1000),0,IND_chemie_ele_kWh/1000)</f>
        <v>9.5358052026999989</v>
      </c>
      <c r="C36" s="39">
        <f>IF(ISERROR(B36*3.6/1000000/'E Balans VL '!Z24*100),0,B36*3.6/1000000/'E Balans VL '!Z24*100)</f>
        <v>3.0972326049165426E-4</v>
      </c>
      <c r="D36" s="237" t="s">
        <v>659</v>
      </c>
    </row>
    <row r="37" spans="1:5">
      <c r="A37" s="171" t="s">
        <v>269</v>
      </c>
      <c r="B37" s="37">
        <f>IF( ISERROR(IND_rest_ele_kWh/1000),0,IND_rest_ele_kWh/1000)</f>
        <v>55589.976502999998</v>
      </c>
      <c r="C37" s="39">
        <f>IF(ISERROR(B37*3.6/1000000/'E Balans VL '!Z15*100),0,B37*3.6/1000000/'E Balans VL '!Z15*100)</f>
        <v>0.44879940573421184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1236.1915799000001</v>
      </c>
      <c r="C5" s="17">
        <f>'Eigen informatie GS &amp; warmtenet'!B60</f>
        <v>0</v>
      </c>
      <c r="D5" s="30">
        <f>IF(ISERROR(SUM(LB_lb_gas_kWh,LB_rest_gas_kWh)/1000),0,SUM(LB_lb_gas_kWh,LB_rest_gas_kWh)/1000)*0.902</f>
        <v>149.22730108066</v>
      </c>
      <c r="E5" s="17">
        <f>B17*'E Balans VL '!I25/3.6*1000000/100</f>
        <v>31.876634418711177</v>
      </c>
      <c r="F5" s="17">
        <f>B17*('E Balans VL '!L25/3.6*1000000+'E Balans VL '!N25/3.6*1000000)/100</f>
        <v>4518.5156457848007</v>
      </c>
      <c r="G5" s="18"/>
      <c r="H5" s="17"/>
      <c r="I5" s="17"/>
      <c r="J5" s="17">
        <f>('E Balans VL '!D25+'E Balans VL '!E25)/3.6*1000000*landbouw!B17/100</f>
        <v>177.96611214987234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1236.1915799000001</v>
      </c>
      <c r="C8" s="21">
        <f>C5+C6</f>
        <v>0</v>
      </c>
      <c r="D8" s="21">
        <f>MAX((D5+D6),0)</f>
        <v>149.22730108066</v>
      </c>
      <c r="E8" s="21">
        <f>MAX((E5+E6),0)</f>
        <v>31.876634418711177</v>
      </c>
      <c r="F8" s="21">
        <f>MAX((F5+F6),0)</f>
        <v>4518.5156457848007</v>
      </c>
      <c r="G8" s="21"/>
      <c r="H8" s="21"/>
      <c r="I8" s="21"/>
      <c r="J8" s="21">
        <f>MAX((J5+J6),0)</f>
        <v>177.96611214987234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0.20657669077878499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255.36836574434</v>
      </c>
      <c r="C12" s="23">
        <f ca="1">C8*C10</f>
        <v>0</v>
      </c>
      <c r="D12" s="23">
        <f>D8*D10</f>
        <v>30.143914818293322</v>
      </c>
      <c r="E12" s="23">
        <f>E8*E10</f>
        <v>7.235996013047437</v>
      </c>
      <c r="F12" s="23">
        <f>F8*F10</f>
        <v>1206.4436774245419</v>
      </c>
      <c r="G12" s="23"/>
      <c r="H12" s="23"/>
      <c r="I12" s="23"/>
      <c r="J12" s="23">
        <f>J8*J10</f>
        <v>63.000003701054808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0.17431120111531895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264.53486225409665</v>
      </c>
      <c r="C26" s="247">
        <f>B26*'GWP N2O_CH4'!B5</f>
        <v>5555.2321073360299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63.533532794312507</v>
      </c>
      <c r="C27" s="247">
        <f>B27*'GWP N2O_CH4'!B5</f>
        <v>1334.2041886805625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3.1640344055238083</v>
      </c>
      <c r="C28" s="247">
        <f>B28*'GWP N2O_CH4'!B4</f>
        <v>980.85066571238053</v>
      </c>
      <c r="D28" s="50"/>
    </row>
    <row r="29" spans="1:4">
      <c r="A29" s="41" t="s">
        <v>276</v>
      </c>
      <c r="B29" s="247">
        <f>B34*'ha_N2O bodem landbouw'!B4</f>
        <v>21.015198214268356</v>
      </c>
      <c r="C29" s="247">
        <f>B29*'GWP N2O_CH4'!B4</f>
        <v>6514.71144642319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4.7295615973014064E-3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1.9155311714799938E-4</v>
      </c>
      <c r="C5" s="437" t="s">
        <v>210</v>
      </c>
      <c r="D5" s="422">
        <f>SUM(D6:D11)</f>
        <v>3.9194188418775587E-4</v>
      </c>
      <c r="E5" s="422">
        <f>SUM(E6:E11)</f>
        <v>1.8103950257661241E-3</v>
      </c>
      <c r="F5" s="435" t="s">
        <v>210</v>
      </c>
      <c r="G5" s="422">
        <f>SUM(G6:G11)</f>
        <v>0.78921415703143272</v>
      </c>
      <c r="H5" s="422">
        <f>SUM(H6:H11)</f>
        <v>0.13440691714069325</v>
      </c>
      <c r="I5" s="437" t="s">
        <v>210</v>
      </c>
      <c r="J5" s="437" t="s">
        <v>210</v>
      </c>
      <c r="K5" s="437" t="s">
        <v>210</v>
      </c>
      <c r="L5" s="437" t="s">
        <v>210</v>
      </c>
      <c r="M5" s="422">
        <f>SUM(M6:M11)</f>
        <v>2.8856764539031028E-2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1.2218691805816241E-4</v>
      </c>
      <c r="C6" s="423"/>
      <c r="D6" s="865">
        <f>vkm_GW_PW*SUMIFS(TableVerdeelsleutelVkm[CNG],TableVerdeelsleutelVkm[Voertuigtype],"Lichte voertuigen")*SUMIFS(TableECFTransport[EnergieConsumptieFactor (PJ per km)],TableECFTransport[Index],CONCATENATE($A6,"_CNG_CNG"))</f>
        <v>2.202635067471246E-4</v>
      </c>
      <c r="E6" s="865">
        <f>vkm_GW_PW*SUMIFS(TableVerdeelsleutelVkm[LPG],TableVerdeelsleutelVkm[Voertuigtype],"Lichte voertuigen")*SUMIFS(TableECFTransport[EnergieConsumptieFactor (PJ per km)],TableECFTransport[Index],CONCATENATE($A6,"_LPG_LPG"))</f>
        <v>9.9502415427525225E-4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0.27183924080745198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7.5628535460950372E-2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1.0818683622994823E-2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0.11928122415203327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2.1524076475938411E-6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3.7525939983313436E-3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3.6701462883523754E-5</v>
      </c>
      <c r="C8" s="423"/>
      <c r="D8" s="425">
        <f>vkm_NGW_PW*SUMIFS(TableVerdeelsleutelVkm[CNG],TableVerdeelsleutelVkm[Voertuigtype],"Lichte voertuigen")*SUMIFS(TableECFTransport[EnergieConsumptieFactor (PJ per km)],TableECFTransport[Index],CONCATENATE($A8,"_CNG_CNG"))</f>
        <v>1.1245444556903695E-4</v>
      </c>
      <c r="E8" s="425">
        <f>vkm_NGW_PW*SUMIFS(TableVerdeelsleutelVkm[LPG],TableVerdeelsleutelVkm[Voertuigtype],"Lichte voertuigen")*SUMIFS(TableECFTransport[EnergieConsumptieFactor (PJ per km)],TableECFTransport[Index],CONCATENATE($A8,"_LPG_LPG"))</f>
        <v>4.8220506847982466E-4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0.12369653422193692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3.7521706779811606E-2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5.016040753179506E-3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2.6481135743617192E-2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5.8988299696855941E-7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8.3310137289676744E-4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3.2664736206313202E-5</v>
      </c>
      <c r="C10" s="423"/>
      <c r="D10" s="425">
        <f>vkm_SW_PW*SUMIFS(TableVerdeelsleutelVkm[CNG],TableVerdeelsleutelVkm[Voertuigtype],"Lichte voertuigen")*SUMIFS(TableECFTransport[EnergieConsumptieFactor (PJ per km)],TableECFTransport[Index],CONCATENATE($A10,"_CNG_CNG"))</f>
        <v>5.922393187159432E-5</v>
      </c>
      <c r="E10" s="425">
        <f>vkm_SW_PW*SUMIFS(TableVerdeelsleutelVkm[LPG],TableVerdeelsleutelVkm[Voertuigtype],"Lichte voertuigen")*SUMIFS(TableECFTransport[EnergieConsumptieFactor (PJ per km)],TableECFTransport[Index],CONCATENATE($A10,"_LPG_LPG"))</f>
        <v>3.3316580301104705E-4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8.168909009097676E-2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2.1250728496992239E-2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3.2068300606435444E-3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0.16622693201541647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3.2041122944793934E-6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5.2295147309850444E-3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53.209199207777608</v>
      </c>
      <c r="C14" s="21"/>
      <c r="D14" s="21">
        <f t="shared" ref="D14:M14" si="0">((D5)*10^9/3600)+D12</f>
        <v>108.87274560770996</v>
      </c>
      <c r="E14" s="21">
        <f t="shared" si="0"/>
        <v>502.88750715725666</v>
      </c>
      <c r="F14" s="21"/>
      <c r="G14" s="21">
        <f t="shared" si="0"/>
        <v>219226.15473095354</v>
      </c>
      <c r="H14" s="21">
        <f t="shared" si="0"/>
        <v>37335.25476130368</v>
      </c>
      <c r="I14" s="21"/>
      <c r="J14" s="21"/>
      <c r="K14" s="21"/>
      <c r="L14" s="21"/>
      <c r="M14" s="21">
        <f t="shared" si="0"/>
        <v>8015.7679275086193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0.20657669077878499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10.991780291331846</v>
      </c>
      <c r="C18" s="23"/>
      <c r="D18" s="23">
        <f t="shared" ref="D18:M18" si="1">D14*D16</f>
        <v>21.992294612757412</v>
      </c>
      <c r="E18" s="23">
        <f t="shared" si="1"/>
        <v>114.15546412469726</v>
      </c>
      <c r="F18" s="23"/>
      <c r="G18" s="23">
        <f t="shared" si="1"/>
        <v>58533.383313164595</v>
      </c>
      <c r="H18" s="23">
        <f t="shared" si="1"/>
        <v>9296.478435564617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9.9364543874861586E-3</v>
      </c>
      <c r="H50" s="319">
        <f t="shared" si="2"/>
        <v>0</v>
      </c>
      <c r="I50" s="319">
        <f t="shared" si="2"/>
        <v>0</v>
      </c>
      <c r="J50" s="319">
        <f t="shared" si="2"/>
        <v>0</v>
      </c>
      <c r="K50" s="319">
        <f t="shared" si="2"/>
        <v>0</v>
      </c>
      <c r="L50" s="319">
        <f t="shared" si="2"/>
        <v>0</v>
      </c>
      <c r="M50" s="319">
        <f t="shared" si="2"/>
        <v>3.0781751569224807E-4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9.9364543874861586E-3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3.0781751569224807E-4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2760.1262187461548</v>
      </c>
      <c r="H54" s="21">
        <f t="shared" si="3"/>
        <v>0</v>
      </c>
      <c r="I54" s="21">
        <f t="shared" si="3"/>
        <v>0</v>
      </c>
      <c r="J54" s="21">
        <f t="shared" si="3"/>
        <v>0</v>
      </c>
      <c r="K54" s="21">
        <f t="shared" si="3"/>
        <v>0</v>
      </c>
      <c r="L54" s="21">
        <f t="shared" si="3"/>
        <v>0</v>
      </c>
      <c r="M54" s="21">
        <f t="shared" si="3"/>
        <v>85.504865470068907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0.20657669077878499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736.95370040522334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13568.543929323645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24.75</v>
      </c>
      <c r="C8" s="544">
        <f>B48</f>
        <v>29.117647058823533</v>
      </c>
      <c r="D8" s="1009"/>
      <c r="E8" s="1009">
        <f>E48</f>
        <v>0</v>
      </c>
      <c r="F8" s="1010"/>
      <c r="G8" s="545"/>
      <c r="H8" s="1009">
        <f>I48</f>
        <v>0</v>
      </c>
      <c r="I8" s="1009">
        <f>G48+F48</f>
        <v>0</v>
      </c>
      <c r="J8" s="1009">
        <f>H48+D48+C48</f>
        <v>0</v>
      </c>
      <c r="K8" s="1009"/>
      <c r="L8" s="1009"/>
      <c r="M8" s="1009"/>
      <c r="N8" s="546"/>
      <c r="O8" s="547">
        <f>C8*$C$12+D8*$D$12+E8*$E$12+F8*$F$12+G8*$G$12+H8*$H$12+I8*$I$12+J8*$J$12</f>
        <v>5.8817647058823539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13593.293929323645</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5.8817647058823539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35.357142857142861</v>
      </c>
      <c r="C17" s="569">
        <f>B49</f>
        <v>41.596638655462193</v>
      </c>
      <c r="D17" s="570"/>
      <c r="E17" s="570">
        <f>E49</f>
        <v>0</v>
      </c>
      <c r="F17" s="1015"/>
      <c r="G17" s="571"/>
      <c r="H17" s="569">
        <f>I49</f>
        <v>0</v>
      </c>
      <c r="I17" s="570">
        <f>G49+F49</f>
        <v>0</v>
      </c>
      <c r="J17" s="570">
        <f>H49+D49+C49</f>
        <v>0</v>
      </c>
      <c r="K17" s="570"/>
      <c r="L17" s="570"/>
      <c r="M17" s="570"/>
      <c r="N17" s="1016"/>
      <c r="O17" s="572">
        <f>C17*$C$22+E17*$E$22+H17*$H$22+I17*$I$22+J17*$J$22+D17*$D$22+F17*$F$22+G17*$G$22+K17*$K$22+L17*$L$22</f>
        <v>8.4025210084033635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13025</v>
      </c>
      <c r="C28" s="770">
        <v>2400</v>
      </c>
      <c r="D28" s="627" t="s">
        <v>896</v>
      </c>
      <c r="E28" s="626" t="s">
        <v>897</v>
      </c>
      <c r="F28" s="626" t="s">
        <v>898</v>
      </c>
      <c r="G28" s="626" t="s">
        <v>899</v>
      </c>
      <c r="H28" s="626" t="s">
        <v>900</v>
      </c>
      <c r="I28" s="626" t="s">
        <v>897</v>
      </c>
      <c r="J28" s="769">
        <v>41814</v>
      </c>
      <c r="K28" s="769">
        <v>41814</v>
      </c>
      <c r="L28" s="626" t="s">
        <v>901</v>
      </c>
      <c r="M28" s="626">
        <v>5.5</v>
      </c>
      <c r="N28" s="626">
        <v>24.75</v>
      </c>
      <c r="O28" s="626">
        <v>35.357142857142861</v>
      </c>
      <c r="P28" s="626">
        <v>70.714285714285722</v>
      </c>
      <c r="Q28" s="626">
        <v>0</v>
      </c>
      <c r="R28" s="626">
        <v>0</v>
      </c>
      <c r="S28" s="626">
        <v>0</v>
      </c>
      <c r="T28" s="626">
        <v>0</v>
      </c>
      <c r="U28" s="626">
        <v>0</v>
      </c>
      <c r="V28" s="626">
        <v>0</v>
      </c>
      <c r="W28" s="626">
        <v>0</v>
      </c>
      <c r="X28" s="626">
        <v>1300</v>
      </c>
      <c r="Y28" s="626" t="s">
        <v>53</v>
      </c>
      <c r="Z28" s="628" t="s">
        <v>155</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5.5</v>
      </c>
      <c r="N31" s="584">
        <f ca="1">SUMIF($Z$28:AD28,"tertiair",N28:N28)</f>
        <v>24.75</v>
      </c>
      <c r="O31" s="584">
        <f ca="1">SUMIF($Z$28:AE28,"tertiair",O28:O28)</f>
        <v>35.357142857142861</v>
      </c>
      <c r="P31" s="584">
        <f ca="1">SUMIF($Z$28:AF28,"tertiair",P28:P28)</f>
        <v>70.714285714285722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2020-06-20T15:51:52Z</dcterms:modified>
</cp:coreProperties>
</file>