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B49" i="18"/>
  <c r="C17" i="18" s="1"/>
  <c r="D48" i="18"/>
  <c r="F49"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33" i="48" s="1"/>
  <c r="E8" i="48"/>
  <c r="E26" i="48" s="1"/>
  <c r="F13" i="14"/>
  <c r="F16" i="14" s="1"/>
  <c r="F27" i="14" s="1"/>
  <c r="F63" i="14" s="1"/>
  <c r="J22" i="16"/>
  <c r="K43" i="14" s="1"/>
  <c r="K46" i="14" s="1"/>
  <c r="K61" i="14" s="1"/>
  <c r="J8" i="48"/>
  <c r="K13" i="14"/>
  <c r="K16" i="14" s="1"/>
  <c r="K27" i="14" s="1"/>
  <c r="N8" i="48"/>
  <c r="N26" i="48" s="1"/>
  <c r="O13" i="14"/>
  <c r="N22" i="16"/>
  <c r="O43" i="14" s="1"/>
  <c r="G13" i="14"/>
  <c r="R13" i="14" s="1"/>
  <c r="F8" i="48"/>
  <c r="E15" i="48"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<sst xmlns="http://schemas.openxmlformats.org/spreadsheetml/2006/main" count="2425" uniqueCount="909">
  <si>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</si>
  <si>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</si>
  <si>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</si>
  <si>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</si>
  <si>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</si>
  <si>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</si>
  <si>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</si>
  <si>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</si>
  <si>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</si>
  <si>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</si>
  <si>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</si>
  <si>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</si>
  <si>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</si>
  <si>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</si>
  <si>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</si>
  <si>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</si>
  <si>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</si>
  <si>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</si>
  <si>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</si>
  <si>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</si>
  <si>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</si>
  <si>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</si>
  <si>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</si>
  <si>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</si>
  <si>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</si>
  <si>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</si>
  <si>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</si>
  <si>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</si>
  <si>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</si>
  <si>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</si>
  <si>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</si>
  <si>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</si>
  <si>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</si>
  <si>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</si>
  <si>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</si>
  <si>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</si>
  <si>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</si>
  <si>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</si>
  <si>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</si>
  <si>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</si>
  <si>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</si>
  <si>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</si>
  <si>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</si>
  <si>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</si>
  <si>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</si>
  <si>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</si>
  <si>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</si>
  <si>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</si>
  <si>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</si>
  <si>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</si>
  <si>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</si>
  <si>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</si>
  <si>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</si>
  <si>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</si>
  <si>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</si>
  <si>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</si>
  <si>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</si>
  <si>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</si>
  <si>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</si>
  <si>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</si>
  <si>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</si>
  <si>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</si>
  <si>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</si>
  <si>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</si>
  <si>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</si>
  <si>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</si>
  <si>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</si>
  <si>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</si>
  <si>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</si>
  <si>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</si>
  <si>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</si>
  <si>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</si>
  <si>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</si>
  <si>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</si>
  <si>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</si>
  <si>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</si>
  <si>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</si>
  <si>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</si>
  <si>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</si>
  <si>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</si>
  <si>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</si>
  <si>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</si>
  <si>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</si>
  <si>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</si>
  <si>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</si>
  <si>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</si>
  <si>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</si>
  <si>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</si>
  <si>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</si>
  <si>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</si>
  <si>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</si>
  <si>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</si>
  <si>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</si>
  <si>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</si>
  <si>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</si>
  <si>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</si>
  <si>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</si>
  <si>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</si>
  <si>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</si>
  <si>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</si>
  <si>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</si>
  <si>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</si>
  <si>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</si>
  <si>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</si>
  <si>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</si>
  <si>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</si>
  <si>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</si>
  <si>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</si>
  <si>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</si>
  <si>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</si>
  <si>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</si>
  <si>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</si>
  <si>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</si>
  <si>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</si>
  <si>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</si>
  <si>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</si>
  <si>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</si>
  <si>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</si>
  <si>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</si>
  <si>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</si>
  <si>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</si>
  <si>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</si>
  <si>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</si>
  <si>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</si>
  <si>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</si>
  <si>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</si>
  <si>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</si>
  <si>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</si>
  <si>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</si>
  <si>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</si>
  <si>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</si>
  <si>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</si>
  <si>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</si>
  <si>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</si>
  <si>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</si>
  <si>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</si>
  <si>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</si>
  <si>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</si>
  <si>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</si>
  <si>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</si>
  <si>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</si>
  <si>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</si>
  <si>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</si>
  <si>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</si>
  <si>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</si>
  <si>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</si>
  <si>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</si>
  <si>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</si>
  <si>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</si>
  <si>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</si>
  <si>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</si>
  <si>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</si>
  <si>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</si>
  <si>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</si>
  <si>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</si>
  <si>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</si>
  <si>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</si>
  <si>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</si>
  <si>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</si>
  <si>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</si>
  <si>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</si>
  <si>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</si>
  <si>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</si>
  <si>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</si>
  <si>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</si>
  <si>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</si>
  <si>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</si>
  <si>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</si>
  <si>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</si>
  <si>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</si>
  <si>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</si>
  <si>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</si>
  <si>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</si>
  <si>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</si>
  <si>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</si>
  <si>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</si>
  <si>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</si>
  <si>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</si>
  <si>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</si>
  <si>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</si>
  <si>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</si>
  <si>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</si>
  <si>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</si>
  <si>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</si>
  <si>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</si>
  <si>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</si>
  <si>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</si>
  <si>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</si>
  <si>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</si>
  <si>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</si>
  <si>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</si>
  <si>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</si>
  <si>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</si>
  <si>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</si>
  <si>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</si>
  <si>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</si>
  <si>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</si>
  <si>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</si>
  <si>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</si>
  <si>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</si>
  <si>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</si>
  <si>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</si>
  <si>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</si>
  <si>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</si>
  <si>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</si>
  <si>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</si>
  <si>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</si>
  <si>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</si>
  <si>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</si>
  <si>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</si>
  <si>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</si>
  <si>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</si>
  <si>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</si>
  <si>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</si>
  <si>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</si>
  <si>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</si>
  <si>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</si>
  <si>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</si>
  <si>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</si>
  <si>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</si>
  <si>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</si>
  <si>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</si>
  <si>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</si>
  <si>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</si>
  <si>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</si>
  <si>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</si>
  <si>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</si>
  <si>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</si>
  <si>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</si>
  <si>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</si>
  <si>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</si>
  <si>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</si>
  <si>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</si>
  <si>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</si>
  <si>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</si>
  <si>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</si>
  <si>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</si>
  <si>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</si>
  <si>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</si>
  <si>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</si>
  <si>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</si>
  <si>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</si>
  <si>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</si>
  <si>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</si>
  <si>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</si>
  <si>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</si>
  <si>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</si>
  <si>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</si>
  <si>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</si>
  <si>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</si>
  <si>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</si>
  <si>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</si>
  <si>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</si>
  <si>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</si>
  <si>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</si>
  <si>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</si>
  <si>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</si>
  <si>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</si>
  <si>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</si>
  <si>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</si>
  <si>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</si>
  <si>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</si>
  <si>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</si>
  <si>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</si>
  <si>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</si>
  <si>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</si>
  <si>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</si>
  <si>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</si>
  <si>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</si>
  <si>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</si>
  <si>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</si>
  <si>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</si>
  <si>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</si>
  <si>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</si>
  <si>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</si>
  <si>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</si>
  <si>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</si>
  <si>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</si>
  <si>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</si>
  <si>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</si>
  <si>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</si>
  <si>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</si>
  <si>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</si>
  <si>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</si>
  <si>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</si>
  <si>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</si>
  <si>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</si>
  <si>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</si>
  <si>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</si>
  <si>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</si>
  <si>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</si>
  <si>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</si>
  <si>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</si>
  <si>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</si>
  <si>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</si>
  <si>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</si>
  <si>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</si>
  <si>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</si>
  <si>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</si>
  <si>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</si>
  <si>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</si>
  <si>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</si>
  <si>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</si>
  <si>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</si>
  <si>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</si>
  <si>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</si>
  <si>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</si>
  <si>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</si>
  <si>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</si>
  <si>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</si>
  <si>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</si>
  <si>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</si>
  <si>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</si>
  <si>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</si>
  <si>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</si>
  <si>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</si>
  <si>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</si>
  <si>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</si>
  <si>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</si>
  <si>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</si>
  <si>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</si>
  <si>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</si>
  <si>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</si>
  <si>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</si>
  <si>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</si>
  <si>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</si>
  <si>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</si>
  <si>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</si>
  <si>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</si>
  <si>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</si>
  <si>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</si>
  <si>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</si>
  <si>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</si>
  <si>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</si>
  <si>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</si>
  <si>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</si>
  <si>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</si>
  <si>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</si>
  <si>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</si>
  <si>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</si>
  <si>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</si>
  <si>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</si>
  <si>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</si>
  <si>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</si>
  <si>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</si>
  <si>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</si>
  <si>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</si>
  <si>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</si>
  <si>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</si>
  <si>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</si>
  <si>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</si>
  <si>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</si>
  <si>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</si>
  <si>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</si>
  <si>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</si>
  <si>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</si>
  <si>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</si>
  <si>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</si>
  <si>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</si>
  <si>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</si>
  <si>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</si>
  <si>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</si>
  <si>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</si>
  <si>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</si>
  <si>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</si>
  <si>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</si>
  <si>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</si>
  <si>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</si>
  <si>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</si>
  <si>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</si>
  <si>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</si>
  <si>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</si>
  <si>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</si>
  <si>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</si>
  <si>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</si>
  <si>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</si>
  <si>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</si>
  <si>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</si>
  <si>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</si>
  <si>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</si>
  <si>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</si>
  <si>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</si>
  <si>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</si>
  <si>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</si>
  <si>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</si>
  <si>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</si>
  <si>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</si>
  <si>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</si>
  <si>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</si>
  <si>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</si>
  <si>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</si>
  <si>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</si>
  <si>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</si>
  <si>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</si>
  <si>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</si>
  <si>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</si>
  <si>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</si>
  <si>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</si>
  <si>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</si>
  <si>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</si>
  <si>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</si>
  <si>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</si>
  <si>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</si>
  <si>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</si>
  <si>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</si>
  <si>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</si>
  <si>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</si>
  <si>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</si>
  <si>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</si>
  <si>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</si>
  <si>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</si>
  <si>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</si>
  <si>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</si>
  <si>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</si>
  <si>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</si>
  <si>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</si>
  <si>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</si>
  <si>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</si>
  <si>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</si>
  <si>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</si>
  <si>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</si>
  <si>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</si>
  <si>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</si>
  <si>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</si>
  <si>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</si>
  <si>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</si>
  <si>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</si>
  <si>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</si>
  <si>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</si>
  <si>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</si>
  <si>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</si>
  <si>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</si>
  <si>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</si>
  <si>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</si>
  <si>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</si>
  <si>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</si>
  <si>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</si>
  <si>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</si>
  <si>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</si>
  <si>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</si>
  <si>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</si>
  <si>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</si>
  <si>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</si>
  <si>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</si>
  <si>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</si>
  <si>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</si>
  <si>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</si>
  <si>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</si>
  <si>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</si>
  <si>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</si>
  <si>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</si>
  <si>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</si>
  <si>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</si>
  <si>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</si>
  <si>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</si>
  <si>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</si>
  <si>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</si>
  <si>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</si>
  <si>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</si>
  <si>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</si>
  <si>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</si>
  <si>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</si>
  <si>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</si>
  <si>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</si>
  <si>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</si>
  <si>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</si>
  <si>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</si>
  <si>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</si>
  <si>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</si>
  <si>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</si>
  <si>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</si>
  <si>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</si>
  <si>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</si>
  <si>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</si>
  <si>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</si>
  <si>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</si>
  <si>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</si>
  <si>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</si>
  <si>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</si>
  <si>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</si>
  <si>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</si>
  <si>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</si>
  <si>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</si>
  <si>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</si>
  <si>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</si>
  <si>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</si>
  <si>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</si>
  <si>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</si>
  <si>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</si>
  <si>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</si>
  <si>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</si>
  <si>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</si>
  <si>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</si>
  <si>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</si>
  <si>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</si>
  <si>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</si>
  <si>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</si>
  <si>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</si>
  <si>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</si>
  <si>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</si>
  <si>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</si>
  <si>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</si>
  <si>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</si>
  <si>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</si>
  <si>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</si>
  <si>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</si>
  <si>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</si>
  <si>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</si>
  <si>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</si>
  <si>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</si>
  <si>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</si>
  <si>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</si>
  <si>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</si>
  <si>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</si>
  <si>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</si>
  <si>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</si>
  <si>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</si>
  <si>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</si>
  <si>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</si>
  <si>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</si>
  <si>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</si>
  <si>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</si>
  <si>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</si>
  <si>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</si>
  <si>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</si>
  <si>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</si>
  <si>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</si>
  <si>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</si>
  <si>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</si>
  <si>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</si>
  <si>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</si>
  <si>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</si>
  <si>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</si>
  <si>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</si>
  <si>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</si>
  <si>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</si>
  <si>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</si>
  <si>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</si>
  <si>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</si>
  <si>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</si>
  <si>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</si>
  <si>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</si>
  <si>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</si>
  <si>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</si>
  <si>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</si>
  <si>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</si>
  <si>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</si>
  <si>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</si>
  <si>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</si>
  <si>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</si>
  <si>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</si>
  <si>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</si>
  <si>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</si>
  <si>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</si>
  <si>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</si>
  <si>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</si>
  <si>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</si>
  <si>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</si>
  <si>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</si>
  <si>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</si>
  <si>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</si>
  <si>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</si>
  <si>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</si>
  <si>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</si>
  <si>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</si>
  <si>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</si>
  <si>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</si>
  <si>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</si>
  <si>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</si>
  <si>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</si>
  <si>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</si>
  <si>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</si>
  <si>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</si>
  <si>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</si>
  <si>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</si>
  <si>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</si>
  <si>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</si>
  <si>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</si>
  <si>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</si>
  <si>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</si>
  <si>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</si>
  <si>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</si>
  <si>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</si>
  <si>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</si>
  <si>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</si>
  <si>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</si>
  <si>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</si>
  <si>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</si>
  <si>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</si>
  <si>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</si>
  <si>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</si>
  <si>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</si>
  <si>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</si>
  <si>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</si>
  <si>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</si>
  <si>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</si>
  <si>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</si>
  <si>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</si>
  <si>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</si>
  <si>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</si>
  <si>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</si>
  <si>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</si>
  <si>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</si>
  <si>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</si>
  <si>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</si>
  <si>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</si>
  <si>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</si>
  <si>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</si>
  <si>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</si>
  <si>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</si>
  <si>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</si>
  <si>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</si>
  <si>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</si>
  <si>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</si>
  <si>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</si>
  <si>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</si>
  <si>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</si>
  <si>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</si>
  <si>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</si>
  <si>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</si>
  <si>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</si>
  <si>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</si>
  <si>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</si>
  <si>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</si>
  <si>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</si>
  <si>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</si>
  <si>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</si>
  <si>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</si>
  <si>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</si>
  <si>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</si>
  <si>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</si>
  <si>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</si>
  <si>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</si>
  <si>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</si>
  <si>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</si>
  <si>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</si>
  <si>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</si>
  <si>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</si>
  <si>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</si>
  <si>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</si>
  <si>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</si>
  <si>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</si>
  <si>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</si>
  <si>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</si>
  <si>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</si>
  <si>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</si>
  <si>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</si>
  <si>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</si>
  <si>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</si>
  <si>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</si>
  <si>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</si>
  <si>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</si>
  <si>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</si>
  <si>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</si>
  <si>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</si>
  <si>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</si>
  <si>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</si>
  <si>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</si>
  <si>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</si>
  <si>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</si>
  <si>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</si>
  <si>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</si>
  <si>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</si>
  <si>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</si>
  <si>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</si>
  <si>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</si>
  <si>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</si>
  <si>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</si>
  <si>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</si>
  <si>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</si>
  <si>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</si>
  <si>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</si>
  <si>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</si>
  <si>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</si>
  <si>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</si>
  <si>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</si>
  <si>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</si>
  <si>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</si>
  <si>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</si>
  <si>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</si>
  <si>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</si>
  <si>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</si>
  <si>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</si>
  <si>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</si>
  <si>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</si>
  <si>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</si>
  <si>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</si>
  <si>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</si>
  <si>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</si>
  <si>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</si>
  <si>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</si>
  <si>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</si>
  <si>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</si>
  <si>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</si>
  <si>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</si>
  <si>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</si>
  <si>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</si>
  <si>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</si>
  <si>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</si>
  <si>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</si>
  <si>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</si>
  <si>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</si>
  <si>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</si>
  <si>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</si>
  <si>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</si>
  <si>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</si>
  <si>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</si>
  <si>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</si>
  <si>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</si>
  <si>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</si>
  <si>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</si>
  <si>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</si>
  <si>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</si>
  <si>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</si>
  <si>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</si>
  <si>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</si>
  <si>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</si>
  <si>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</si>
  <si>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</si>
  <si>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</si>
  <si>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</si>
  <si>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</si>
  <si>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</si>
  <si>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</si>
  <si>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</si>
  <si>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</si>
  <si>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</si>
  <si>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</si>
  <si>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</si>
  <si>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</si>
  <si>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</si>
  <si>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</si>
  <si>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</si>
  <si>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</si>
  <si>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</si>
  <si>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</si>
  <si>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</si>
  <si>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</si>
  <si>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</si>
  <si>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</si>
  <si>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</si>
  <si>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</si>
  <si>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</si>
  <si>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</si>
  <si>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</si>
  <si>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</si>
  <si>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</si>
  <si>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</si>
  <si>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</si>
  <si>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</si>
  <si>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</si>
  <si>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</si>
  <si>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</si>
  <si>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</si>
  <si>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</si>
  <si>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</si>
  <si>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</si>
  <si>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</si>
  <si>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</si>
  <si>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</si>
  <si>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</si>
  <si>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</si>
  <si>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</si>
  <si>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</si>
  <si>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</si>
  <si>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</si>
  <si>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</si>
  <si>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</si>
  <si>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</si>
  <si>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</si>
  <si>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</si>
  <si>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</si>
  <si>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</si>
  <si>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</si>
  <si>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</si>
  <si>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</si>
  <si>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</si>
  <si>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</si>
  <si>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</si>
  <si>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</si>
  <si>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</si>
  <si>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</si>
  <si>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</si>
  <si>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</si>
  <si>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</si>
  <si>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</si>
  <si>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</si>
  <si>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</si>
  <si>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</si>
  <si>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</si>
  <si>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</si>
  <si>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</si>
  <si>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</si>
  <si>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</si>
  <si>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</si>
  <si>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</si>
  <si>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</si>
  <si>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</si>
  <si>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</si>
  <si>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</si>
  <si>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</si>
  <si>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</si>
  <si>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</si>
  <si>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</si>
  <si>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</si>
  <si>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</si>
  <si>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</si>
  <si>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</si>
  <si>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</si>
  <si>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</si>
  <si>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</si>
  <si>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</si>
  <si>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</si>
  <si>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</si>
  <si>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</si>
  <si>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</si>
  <si>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</si>
  <si>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</si>
  <si>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</si>
  <si>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</si>
  <si>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</si>
  <si>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</si>
  <si>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</si>
  <si>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</si>
  <si>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</si>
  <si>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</si>
  <si>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</si>
  <si>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</si>
  <si>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</si>
  <si>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</si>
  <si>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</si>
  <si>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</si>
  <si>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</si>
  <si>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</si>
  <si>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</si>
  <si>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</si>
  <si>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</si>
  <si>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</si>
  <si>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</si>
  <si>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</si>
  <si>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</si>
  <si>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</si>
  <si>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</si>
  <si>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</si>
  <si>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</si>
  <si>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</si>
  <si>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</si>
  <si>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</si>
  <si>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</si>
  <si>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</si>
  <si>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</si>
  <si>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</si>
  <si>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</si>
  <si>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</si>
  <si>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</si>
  <si>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</si>
  <si>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</si>
  <si>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</si>
  <si>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</si>
  <si>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</si>
  <si>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</si>
  <si>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</si>
  <si>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</si>
  <si>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</si>
  <si>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</si>
  <si>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</si>
  <si>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</si>
  <si>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</si>
  <si>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</si>
  <si>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</si>
  <si>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</si>
  <si>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</si>
  <si>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</si>
  <si>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</si>
  <si>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</si>
  <si>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</si>
  <si>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</si>
  <si>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</si>
  <si>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</si>
  <si>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</si>
  <si>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</si>
  <si>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</si>
  <si>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</si>
  <si>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</si>
  <si>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</si>
  <si>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</si>
  <si>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</si>
  <si>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</si>
  <si>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</si>
  <si>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</si>
  <si>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13017</t>
  </si>
  <si>
    <t>KASTERLEE</t>
  </si>
  <si>
    <t>Paarden&amp;pony's 200 - 600 kg</t>
  </si>
  <si>
    <t>Paarden&amp;pony's &lt; 200 kg</t>
  </si>
  <si>
    <t>Fluvius</t>
  </si>
  <si>
    <t>referentietaak LNE (2017); Jaarverslag De Lijn</t>
  </si>
  <si>
    <t>Dierckx Jan &amp; Peter VVZRL</t>
  </si>
  <si>
    <t>Hazendonk 8 , 2460 Kasterlee</t>
  </si>
  <si>
    <t>WKK-0593 Dierckx</t>
  </si>
  <si>
    <t>interne verbrandingsmotor</t>
  </si>
  <si>
    <t>WKK interne verbrandinsgmotor (gas)</t>
  </si>
  <si>
    <t>IVEKA</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</si>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</sst>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180908.02722899543</c:v>
                </c:pt>
                <c:pt idx="1">
                  <c:v>52931.060468448828</c:v>
                </c:pt>
                <c:pt idx="2">
                  <c:v>801.30499999999995</c:v>
                </c:pt>
                <c:pt idx="3">
                  <c:v>20765.489988578658</c:v>
                </c:pt>
                <c:pt idx="4">
                  <c:v>29241.94533951431</c:v>
                </c:pt>
                <c:pt idx="5">
                  <c:v>99970.681899768155</c:v>
                </c:pt>
                <c:pt idx="6">
                  <c:v>1456.9015269474853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180908.02722899543</c:v>
                </c:pt>
                <c:pt idx="1">
                  <c:v>52931.060468448828</c:v>
                </c:pt>
                <c:pt idx="2">
                  <c:v>801.30499999999995</c:v>
                </c:pt>
                <c:pt idx="3">
                  <c:v>20765.489988578658</c:v>
                </c:pt>
                <c:pt idx="4">
                  <c:v>29241.94533951431</c:v>
                </c:pt>
                <c:pt idx="5">
                  <c:v>99970.681899768155</c:v>
                </c:pt>
                <c:pt idx="6">
                  <c:v>1456.9015269474853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31296.560679230512</c:v>
                </c:pt>
                <c:pt idx="2">
                  <c:v>10438.221642828768</c:v>
                </c:pt>
                <c:pt idx="3">
                  <c:v>154.36269899173425</c:v>
                </c:pt>
                <c:pt idx="4">
                  <c:v>5253.3483656699755</c:v>
                </c:pt>
                <c:pt idx="5">
                  <c:v>5060.9694042909159</c:v>
                </c:pt>
                <c:pt idx="6">
                  <c:v>25568.902018243713</c:v>
                </c:pt>
                <c:pt idx="7">
                  <c:v>377.30434467252513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31296.560679230512</c:v>
                </c:pt>
                <c:pt idx="2">
                  <c:v>10438.221642828768</c:v>
                </c:pt>
                <c:pt idx="3">
                  <c:v>154.36269899173425</c:v>
                </c:pt>
                <c:pt idx="4">
                  <c:v>5253.3483656699755</c:v>
                </c:pt>
                <c:pt idx="5">
                  <c:v>5060.9694042909159</c:v>
                </c:pt>
                <c:pt idx="6">
                  <c:v>25568.902018243713</c:v>
                </c:pt>
                <c:pt idx="7">
                  <c:v>377.30434467252513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13017</v>
      </c>
      <c r="B6" s="390"/>
      <c r="C6" s="391"/>
    </row>
    <row r="7" spans="1:7" s="388" customFormat="1" ht="15.75" customHeight="1">
      <c r="A7" s="392" t="str">
        <f>txtMunicipality</f>
        <v>KASTERLEE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0.19263913115696801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0.19263913115696801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7312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3090.12</v>
      </c>
      <c r="C14" s="330"/>
      <c r="D14" s="330"/>
      <c r="E14" s="330"/>
      <c r="F14" s="330"/>
    </row>
    <row r="15" spans="1:6">
      <c r="A15" s="1291" t="s">
        <v>183</v>
      </c>
      <c r="B15" s="1292">
        <v>14253</v>
      </c>
      <c r="C15" s="330"/>
      <c r="D15" s="330"/>
      <c r="E15" s="330"/>
      <c r="F15" s="330"/>
    </row>
    <row r="16" spans="1:6">
      <c r="A16" s="1291" t="s">
        <v>6</v>
      </c>
      <c r="B16" s="1292">
        <v>2902</v>
      </c>
      <c r="C16" s="330"/>
      <c r="D16" s="330"/>
      <c r="E16" s="330"/>
      <c r="F16" s="330"/>
    </row>
    <row r="17" spans="1:6">
      <c r="A17" s="1291" t="s">
        <v>7</v>
      </c>
      <c r="B17" s="1292">
        <v>239</v>
      </c>
      <c r="C17" s="330"/>
      <c r="D17" s="330"/>
      <c r="E17" s="330"/>
      <c r="F17" s="330"/>
    </row>
    <row r="18" spans="1:6">
      <c r="A18" s="1291" t="s">
        <v>8</v>
      </c>
      <c r="B18" s="1292">
        <v>1561</v>
      </c>
      <c r="C18" s="330"/>
      <c r="D18" s="330"/>
      <c r="E18" s="330"/>
      <c r="F18" s="330"/>
    </row>
    <row r="19" spans="1:6">
      <c r="A19" s="1291" t="s">
        <v>9</v>
      </c>
      <c r="B19" s="1292">
        <v>1426</v>
      </c>
      <c r="C19" s="330"/>
      <c r="D19" s="330"/>
      <c r="E19" s="330"/>
      <c r="F19" s="330"/>
    </row>
    <row r="20" spans="1:6">
      <c r="A20" s="1291" t="s">
        <v>10</v>
      </c>
      <c r="B20" s="1292">
        <v>529</v>
      </c>
      <c r="C20" s="330"/>
      <c r="D20" s="330"/>
      <c r="E20" s="330"/>
      <c r="F20" s="330"/>
    </row>
    <row r="21" spans="1:6">
      <c r="A21" s="1291" t="s">
        <v>11</v>
      </c>
      <c r="B21" s="1292">
        <v>10812</v>
      </c>
      <c r="C21" s="330"/>
      <c r="D21" s="330"/>
      <c r="E21" s="330"/>
      <c r="F21" s="330"/>
    </row>
    <row r="22" spans="1:6">
      <c r="A22" s="1291" t="s">
        <v>12</v>
      </c>
      <c r="B22" s="1292">
        <v>26697</v>
      </c>
      <c r="C22" s="330"/>
      <c r="D22" s="330"/>
      <c r="E22" s="330"/>
      <c r="F22" s="330"/>
    </row>
    <row r="23" spans="1:6">
      <c r="A23" s="1291" t="s">
        <v>13</v>
      </c>
      <c r="B23" s="1292">
        <v>613</v>
      </c>
      <c r="C23" s="330"/>
      <c r="D23" s="330"/>
      <c r="E23" s="330"/>
      <c r="F23" s="330"/>
    </row>
    <row r="24" spans="1:6">
      <c r="A24" s="1291" t="s">
        <v>14</v>
      </c>
      <c r="B24" s="1292">
        <v>9</v>
      </c>
      <c r="C24" s="330"/>
      <c r="D24" s="330"/>
      <c r="E24" s="330"/>
      <c r="F24" s="330"/>
    </row>
    <row r="25" spans="1:6">
      <c r="A25" s="1291" t="s">
        <v>15</v>
      </c>
      <c r="B25" s="1292">
        <v>2822</v>
      </c>
      <c r="C25" s="330"/>
      <c r="D25" s="330"/>
      <c r="E25" s="330"/>
      <c r="F25" s="330"/>
    </row>
    <row r="26" spans="1:6">
      <c r="A26" s="1291" t="s">
        <v>16</v>
      </c>
      <c r="B26" s="1292">
        <v>155</v>
      </c>
      <c r="C26" s="330"/>
      <c r="D26" s="330"/>
      <c r="E26" s="330"/>
      <c r="F26" s="330"/>
    </row>
    <row r="27" spans="1:6">
      <c r="A27" s="1291" t="s">
        <v>17</v>
      </c>
      <c r="B27" s="1292">
        <v>760</v>
      </c>
      <c r="C27" s="330"/>
      <c r="D27" s="330"/>
      <c r="E27" s="330"/>
      <c r="F27" s="330"/>
    </row>
    <row r="28" spans="1:6" s="43" customFormat="1">
      <c r="A28" s="1293" t="s">
        <v>18</v>
      </c>
      <c r="B28" s="1294">
        <v>541830</v>
      </c>
      <c r="C28" s="336"/>
      <c r="D28" s="336"/>
      <c r="E28" s="336"/>
      <c r="F28" s="336"/>
    </row>
    <row r="29" spans="1:6">
      <c r="A29" s="1293" t="s">
        <v>892</v>
      </c>
      <c r="B29" s="1294">
        <v>289</v>
      </c>
      <c r="C29" s="336"/>
      <c r="D29" s="336"/>
      <c r="E29" s="336"/>
      <c r="F29" s="336"/>
    </row>
    <row r="30" spans="1:6">
      <c r="A30" s="1286" t="s">
        <v>893</v>
      </c>
      <c r="B30" s="1295">
        <v>58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10286.602616</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77659.611539999998</v>
      </c>
      <c r="E38" s="1292">
        <v>4</v>
      </c>
      <c r="F38" s="1292">
        <v>568045.64682999998</v>
      </c>
    </row>
    <row r="39" spans="1:6">
      <c r="A39" s="1291" t="s">
        <v>29</v>
      </c>
      <c r="B39" s="1291" t="s">
        <v>30</v>
      </c>
      <c r="C39" s="1292">
        <v>4123</v>
      </c>
      <c r="D39" s="1292">
        <v>69177945.363000005</v>
      </c>
      <c r="E39" s="1292">
        <v>7191</v>
      </c>
      <c r="F39" s="1292">
        <v>26380789.800999999</v>
      </c>
    </row>
    <row r="40" spans="1:6">
      <c r="A40" s="1291" t="s">
        <v>29</v>
      </c>
      <c r="B40" s="1291" t="s">
        <v>28</v>
      </c>
      <c r="C40" s="1292">
        <v>0</v>
      </c>
      <c r="D40" s="1292">
        <v>0</v>
      </c>
      <c r="E40" s="1292">
        <v>0</v>
      </c>
      <c r="F40" s="1292">
        <v>0</v>
      </c>
    </row>
    <row r="41" spans="1:6">
      <c r="A41" s="1291" t="s">
        <v>31</v>
      </c>
      <c r="B41" s="1291" t="s">
        <v>32</v>
      </c>
      <c r="C41" s="1292">
        <v>78</v>
      </c>
      <c r="D41" s="1292">
        <v>1694202.4205</v>
      </c>
      <c r="E41" s="1292">
        <v>177</v>
      </c>
      <c r="F41" s="1292">
        <v>1579069.1146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9</v>
      </c>
      <c r="F44" s="1292">
        <v>132982.48404000001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5</v>
      </c>
      <c r="F47" s="1292">
        <v>104076.0111</v>
      </c>
    </row>
    <row r="48" spans="1:6">
      <c r="A48" s="1291" t="s">
        <v>31</v>
      </c>
      <c r="B48" s="1291" t="s">
        <v>28</v>
      </c>
      <c r="C48" s="1292">
        <v>22</v>
      </c>
      <c r="D48" s="1292">
        <v>1001004.3502</v>
      </c>
      <c r="E48" s="1292">
        <v>23</v>
      </c>
      <c r="F48" s="1292">
        <v>411296.73324999999</v>
      </c>
    </row>
    <row r="49" spans="1:6">
      <c r="A49" s="1291" t="s">
        <v>31</v>
      </c>
      <c r="B49" s="1291" t="s">
        <v>39</v>
      </c>
      <c r="C49" s="1292">
        <v>0</v>
      </c>
      <c r="D49" s="1292">
        <v>0</v>
      </c>
      <c r="E49" s="1292">
        <v>0</v>
      </c>
      <c r="F49" s="1292">
        <v>0</v>
      </c>
    </row>
    <row r="50" spans="1:6">
      <c r="A50" s="1291" t="s">
        <v>31</v>
      </c>
      <c r="B50" s="1291" t="s">
        <v>40</v>
      </c>
      <c r="C50" s="1292">
        <v>7</v>
      </c>
      <c r="D50" s="1292">
        <v>1649625.7227</v>
      </c>
      <c r="E50" s="1292">
        <v>13</v>
      </c>
      <c r="F50" s="1292">
        <v>12887914.210000001</v>
      </c>
    </row>
    <row r="51" spans="1:6">
      <c r="A51" s="1291" t="s">
        <v>41</v>
      </c>
      <c r="B51" s="1291" t="s">
        <v>42</v>
      </c>
      <c r="C51" s="1292">
        <v>0</v>
      </c>
      <c r="D51" s="1292">
        <v>0</v>
      </c>
      <c r="E51" s="1292">
        <v>140</v>
      </c>
      <c r="F51" s="1292">
        <v>4088299.0496999999</v>
      </c>
    </row>
    <row r="52" spans="1:6">
      <c r="A52" s="1291" t="s">
        <v>41</v>
      </c>
      <c r="B52" s="1291" t="s">
        <v>28</v>
      </c>
      <c r="C52" s="1292">
        <v>6</v>
      </c>
      <c r="D52" s="1292">
        <v>98822.117465999996</v>
      </c>
      <c r="E52" s="1292">
        <v>9</v>
      </c>
      <c r="F52" s="1292">
        <v>184084.87385999999</v>
      </c>
    </row>
    <row r="53" spans="1:6">
      <c r="A53" s="1291" t="s">
        <v>43</v>
      </c>
      <c r="B53" s="1291" t="s">
        <v>44</v>
      </c>
      <c r="C53" s="1292">
        <v>109</v>
      </c>
      <c r="D53" s="1292">
        <v>3442420.8875000002</v>
      </c>
      <c r="E53" s="1292">
        <v>307</v>
      </c>
      <c r="F53" s="1292">
        <v>1096609.9169000001</v>
      </c>
    </row>
    <row r="54" spans="1:6">
      <c r="A54" s="1291" t="s">
        <v>45</v>
      </c>
      <c r="B54" s="1291" t="s">
        <v>46</v>
      </c>
      <c r="C54" s="1292">
        <v>0</v>
      </c>
      <c r="D54" s="1292">
        <v>0</v>
      </c>
      <c r="E54" s="1292">
        <v>1</v>
      </c>
      <c r="F54" s="1292">
        <v>801305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46</v>
      </c>
      <c r="D57" s="1292">
        <v>3082948.34</v>
      </c>
      <c r="E57" s="1292">
        <v>168</v>
      </c>
      <c r="F57" s="1292">
        <v>7168560.5214999998</v>
      </c>
    </row>
    <row r="58" spans="1:6">
      <c r="A58" s="1291" t="s">
        <v>48</v>
      </c>
      <c r="B58" s="1291" t="s">
        <v>50</v>
      </c>
      <c r="C58" s="1292">
        <v>21</v>
      </c>
      <c r="D58" s="1292">
        <v>1024736.6928</v>
      </c>
      <c r="E58" s="1292">
        <v>36</v>
      </c>
      <c r="F58" s="1292">
        <v>362252.08260000002</v>
      </c>
    </row>
    <row r="59" spans="1:6">
      <c r="A59" s="1291" t="s">
        <v>48</v>
      </c>
      <c r="B59" s="1291" t="s">
        <v>51</v>
      </c>
      <c r="C59" s="1292">
        <v>64</v>
      </c>
      <c r="D59" s="1292">
        <v>2097065.0415000001</v>
      </c>
      <c r="E59" s="1292">
        <v>152</v>
      </c>
      <c r="F59" s="1292">
        <v>4193449.7373000002</v>
      </c>
    </row>
    <row r="60" spans="1:6">
      <c r="A60" s="1291" t="s">
        <v>48</v>
      </c>
      <c r="B60" s="1291" t="s">
        <v>52</v>
      </c>
      <c r="C60" s="1292">
        <v>76</v>
      </c>
      <c r="D60" s="1292">
        <v>7966024.3843999999</v>
      </c>
      <c r="E60" s="1292">
        <v>118</v>
      </c>
      <c r="F60" s="1292">
        <v>4625920.6823000005</v>
      </c>
    </row>
    <row r="61" spans="1:6">
      <c r="A61" s="1291" t="s">
        <v>48</v>
      </c>
      <c r="B61" s="1291" t="s">
        <v>53</v>
      </c>
      <c r="C61" s="1292">
        <v>113</v>
      </c>
      <c r="D61" s="1292">
        <v>3096179.6230000001</v>
      </c>
      <c r="E61" s="1292">
        <v>215</v>
      </c>
      <c r="F61" s="1292">
        <v>2266828.4733000002</v>
      </c>
    </row>
    <row r="62" spans="1:6">
      <c r="A62" s="1291" t="s">
        <v>48</v>
      </c>
      <c r="B62" s="1291" t="s">
        <v>54</v>
      </c>
      <c r="C62" s="1292">
        <v>5</v>
      </c>
      <c r="D62" s="1292">
        <v>450375.00274000003</v>
      </c>
      <c r="E62" s="1292">
        <v>11</v>
      </c>
      <c r="F62" s="1292">
        <v>210549.33937999999</v>
      </c>
    </row>
    <row r="63" spans="1:6">
      <c r="A63" s="1291" t="s">
        <v>48</v>
      </c>
      <c r="B63" s="1291" t="s">
        <v>28</v>
      </c>
      <c r="C63" s="1292">
        <v>82</v>
      </c>
      <c r="D63" s="1292">
        <v>5679953.3573000003</v>
      </c>
      <c r="E63" s="1292">
        <v>107</v>
      </c>
      <c r="F63" s="1292">
        <v>3172842.1756000002</v>
      </c>
    </row>
    <row r="64" spans="1:6">
      <c r="A64" s="1291" t="s">
        <v>55</v>
      </c>
      <c r="B64" s="1291" t="s">
        <v>56</v>
      </c>
      <c r="C64" s="1292">
        <v>0</v>
      </c>
      <c r="D64" s="1292">
        <v>0</v>
      </c>
      <c r="E64" s="1292">
        <v>0</v>
      </c>
      <c r="F64" s="1292">
        <v>0</v>
      </c>
    </row>
    <row r="65" spans="1:6">
      <c r="A65" s="1291" t="s">
        <v>55</v>
      </c>
      <c r="B65" s="1291" t="s">
        <v>28</v>
      </c>
      <c r="C65" s="1292">
        <v>4</v>
      </c>
      <c r="D65" s="1292">
        <v>220393.98916999999</v>
      </c>
      <c r="E65" s="1292">
        <v>1</v>
      </c>
      <c r="F65" s="1292">
        <v>5102.0631243999997</v>
      </c>
    </row>
    <row r="66" spans="1:6">
      <c r="A66" s="1291" t="s">
        <v>55</v>
      </c>
      <c r="B66" s="1291" t="s">
        <v>57</v>
      </c>
      <c r="C66" s="1292">
        <v>0</v>
      </c>
      <c r="D66" s="1292">
        <v>0</v>
      </c>
      <c r="E66" s="1292">
        <v>11</v>
      </c>
      <c r="F66" s="1292">
        <v>655793.71990999999</v>
      </c>
    </row>
    <row r="67" spans="1:6">
      <c r="A67" s="1293" t="s">
        <v>55</v>
      </c>
      <c r="B67" s="1293" t="s">
        <v>58</v>
      </c>
      <c r="C67" s="1292">
        <v>0</v>
      </c>
      <c r="D67" s="1292">
        <v>0</v>
      </c>
      <c r="E67" s="1292">
        <v>0</v>
      </c>
      <c r="F67" s="1292">
        <v>0</v>
      </c>
    </row>
    <row r="68" spans="1:6">
      <c r="A68" s="1286" t="s">
        <v>55</v>
      </c>
      <c r="B68" s="1286" t="s">
        <v>59</v>
      </c>
      <c r="C68" s="1295">
        <v>0</v>
      </c>
      <c r="D68" s="1295">
        <v>0</v>
      </c>
      <c r="E68" s="1295">
        <v>5</v>
      </c>
      <c r="F68" s="1295">
        <v>14830.24127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99357012</v>
      </c>
      <c r="E73" s="449"/>
      <c r="F73" s="330"/>
    </row>
    <row r="74" spans="1:6">
      <c r="A74" s="1291" t="s">
        <v>63</v>
      </c>
      <c r="B74" s="1291" t="s">
        <v>664</v>
      </c>
      <c r="C74" s="1305" t="s">
        <v>666</v>
      </c>
      <c r="D74" s="1306">
        <v>6404363.780930358</v>
      </c>
      <c r="E74" s="449"/>
      <c r="F74" s="330"/>
    </row>
    <row r="75" spans="1:6">
      <c r="A75" s="1291" t="s">
        <v>64</v>
      </c>
      <c r="B75" s="1291" t="s">
        <v>663</v>
      </c>
      <c r="C75" s="1305" t="s">
        <v>667</v>
      </c>
      <c r="D75" s="1306">
        <v>20180612</v>
      </c>
      <c r="E75" s="449"/>
      <c r="F75" s="330"/>
    </row>
    <row r="76" spans="1:6">
      <c r="A76" s="1291" t="s">
        <v>64</v>
      </c>
      <c r="B76" s="1291" t="s">
        <v>664</v>
      </c>
      <c r="C76" s="1305" t="s">
        <v>668</v>
      </c>
      <c r="D76" s="1306">
        <v>902485.78093035775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395306.43813928444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1164.1418547147327</v>
      </c>
      <c r="C90" s="330"/>
      <c r="D90" s="330"/>
      <c r="E90" s="330"/>
      <c r="F90" s="330"/>
    </row>
    <row r="91" spans="1:6">
      <c r="A91" s="1291" t="s">
        <v>67</v>
      </c>
      <c r="B91" s="1292">
        <v>5753.9290278054414</v>
      </c>
      <c r="C91" s="330"/>
      <c r="D91" s="330"/>
      <c r="E91" s="330"/>
      <c r="F91" s="330"/>
    </row>
    <row r="92" spans="1:6">
      <c r="A92" s="1286" t="s">
        <v>68</v>
      </c>
      <c r="B92" s="1287">
        <v>1551.2507236689823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2144</v>
      </c>
      <c r="C97" s="330"/>
      <c r="D97" s="330"/>
      <c r="E97" s="330"/>
      <c r="F97" s="330"/>
    </row>
    <row r="98" spans="1:6">
      <c r="A98" s="1291" t="s">
        <v>71</v>
      </c>
      <c r="B98" s="1292">
        <v>12</v>
      </c>
      <c r="C98" s="330"/>
      <c r="D98" s="330"/>
      <c r="E98" s="330"/>
      <c r="F98" s="330"/>
    </row>
    <row r="99" spans="1:6">
      <c r="A99" s="1291" t="s">
        <v>72</v>
      </c>
      <c r="B99" s="1292">
        <v>63</v>
      </c>
      <c r="C99" s="330"/>
      <c r="D99" s="330"/>
      <c r="E99" s="330"/>
      <c r="F99" s="330"/>
    </row>
    <row r="100" spans="1:6">
      <c r="A100" s="1291" t="s">
        <v>73</v>
      </c>
      <c r="B100" s="1292">
        <v>245</v>
      </c>
      <c r="C100" s="330"/>
      <c r="D100" s="330"/>
      <c r="E100" s="330"/>
      <c r="F100" s="330"/>
    </row>
    <row r="101" spans="1:6">
      <c r="A101" s="1291" t="s">
        <v>74</v>
      </c>
      <c r="B101" s="1292">
        <v>193</v>
      </c>
      <c r="C101" s="330"/>
      <c r="D101" s="330"/>
      <c r="E101" s="330"/>
      <c r="F101" s="330"/>
    </row>
    <row r="102" spans="1:6">
      <c r="A102" s="1291" t="s">
        <v>75</v>
      </c>
      <c r="B102" s="1292">
        <v>70</v>
      </c>
      <c r="C102" s="330"/>
      <c r="D102" s="330"/>
      <c r="E102" s="330"/>
      <c r="F102" s="330"/>
    </row>
    <row r="103" spans="1:6">
      <c r="A103" s="1291" t="s">
        <v>76</v>
      </c>
      <c r="B103" s="1292">
        <v>116</v>
      </c>
      <c r="C103" s="330"/>
      <c r="D103" s="330"/>
      <c r="E103" s="330"/>
      <c r="F103" s="330"/>
    </row>
    <row r="104" spans="1:6">
      <c r="A104" s="1291" t="s">
        <v>77</v>
      </c>
      <c r="B104" s="1292">
        <v>3477</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53</v>
      </c>
      <c r="C123" s="1292">
        <v>27</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242</v>
      </c>
      <c r="C129" s="330"/>
      <c r="D129" s="330"/>
      <c r="E129" s="330"/>
      <c r="F129" s="330"/>
    </row>
    <row r="130" spans="1:6">
      <c r="A130" s="1291" t="s">
        <v>294</v>
      </c>
      <c r="B130" s="1292">
        <v>7</v>
      </c>
      <c r="C130" s="330"/>
      <c r="D130" s="330"/>
      <c r="E130" s="330"/>
      <c r="F130" s="330"/>
    </row>
    <row r="131" spans="1:6">
      <c r="A131" s="1291" t="s">
        <v>295</v>
      </c>
      <c r="B131" s="1292">
        <v>1</v>
      </c>
      <c r="C131" s="330"/>
      <c r="D131" s="330"/>
      <c r="E131" s="330"/>
      <c r="F131" s="330"/>
    </row>
    <row r="132" spans="1:6">
      <c r="A132" s="1286" t="s">
        <v>296</v>
      </c>
      <c r="B132" s="1287">
        <v>34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76786.354361031859</v>
      </c>
      <c r="C3" s="43" t="s">
        <v>169</v>
      </c>
      <c r="D3" s="43"/>
      <c r="E3" s="154"/>
      <c r="F3" s="43"/>
      <c r="G3" s="43"/>
      <c r="H3" s="43"/>
      <c r="I3" s="43"/>
      <c r="J3" s="43"/>
      <c r="K3" s="96"/>
    </row>
    <row r="4" spans="1:11">
      <c r="A4" s="358" t="s">
        <v>170</v>
      </c>
      <c r="B4" s="49">
        <f>IF(ISERROR('SEAP template'!B78+'SEAP template'!C78),0,'SEAP template'!B78+'SEAP template'!C78)</f>
        <v>9853.9716061891559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0.19263913115696801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801.30499999999995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801.30499999999995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0.19263913115696801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154.36269899173425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26380.789800999999</v>
      </c>
      <c r="C5" s="17">
        <f>IF(ISERROR('Eigen informatie GS &amp; warmtenet'!B57),0,'Eigen informatie GS &amp; warmtenet'!B57)</f>
        <v>0</v>
      </c>
      <c r="D5" s="30">
        <f>(SUM(HH_hh_gas_kWh,HH_rest_gas_kWh)/1000)*0.902</f>
        <v>62398.506717426004</v>
      </c>
      <c r="E5" s="17">
        <f>B46*B57</f>
        <v>14409.205447987644</v>
      </c>
      <c r="F5" s="17">
        <f>B51*B62</f>
        <v>34572.166181508328</v>
      </c>
      <c r="G5" s="18"/>
      <c r="H5" s="17"/>
      <c r="I5" s="17"/>
      <c r="J5" s="17">
        <f>B50*B61+C50*C61</f>
        <v>0</v>
      </c>
      <c r="K5" s="17"/>
      <c r="L5" s="17"/>
      <c r="M5" s="17"/>
      <c r="N5" s="17">
        <f>B48*B59+C48*C59</f>
        <v>35275.960053268063</v>
      </c>
      <c r="O5" s="17">
        <f>B69*B70*B71</f>
        <v>420.53666666666663</v>
      </c>
      <c r="P5" s="17">
        <f>B77*B78*B79/1000-B77*B78*B79/1000/B80</f>
        <v>1696.9333333333334</v>
      </c>
    </row>
    <row r="6" spans="1:16">
      <c r="A6" s="16" t="s">
        <v>623</v>
      </c>
      <c r="B6" s="762">
        <f>kWh_PV_kleiner_dan_10kW</f>
        <v>5753.9290278054414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32134.718828805439</v>
      </c>
      <c r="C8" s="21">
        <f>C5</f>
        <v>0</v>
      </c>
      <c r="D8" s="21">
        <f>D5</f>
        <v>62398.506717426004</v>
      </c>
      <c r="E8" s="21">
        <f>E5</f>
        <v>14409.205447987644</v>
      </c>
      <c r="F8" s="21">
        <f>F5</f>
        <v>34572.166181508328</v>
      </c>
      <c r="G8" s="21"/>
      <c r="H8" s="21"/>
      <c r="I8" s="21"/>
      <c r="J8" s="21">
        <f>J5</f>
        <v>0</v>
      </c>
      <c r="K8" s="21"/>
      <c r="L8" s="21">
        <f>L5</f>
        <v>0</v>
      </c>
      <c r="M8" s="21">
        <f>M5</f>
        <v>0</v>
      </c>
      <c r="N8" s="21">
        <f>N5</f>
        <v>35275.960053268063</v>
      </c>
      <c r="O8" s="21">
        <f>O5</f>
        <v>420.53666666666663</v>
      </c>
      <c r="P8" s="21">
        <f>P5</f>
        <v>1696.9333333333334</v>
      </c>
    </row>
    <row r="9" spans="1:16">
      <c r="B9" s="19"/>
      <c r="C9" s="19"/>
      <c r="D9" s="258"/>
      <c r="E9" s="19"/>
      <c r="F9" s="19"/>
      <c r="G9" s="19"/>
      <c r="H9" s="19"/>
      <c r="I9" s="19"/>
      <c r="J9" s="19"/>
      <c r="K9" s="19"/>
      <c r="L9" s="19"/>
      <c r="M9" s="19"/>
      <c r="N9" s="19"/>
      <c r="O9" s="19"/>
      <c r="P9" s="19"/>
    </row>
    <row r="10" spans="1:16">
      <c r="A10" s="24" t="s">
        <v>213</v>
      </c>
      <c r="B10" s="25">
        <f ca="1">'EF ele_warmte'!B12</f>
        <v>0.19263913115696801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6190.4043151545402</v>
      </c>
      <c r="C12" s="23">
        <f ca="1">C10*C8</f>
        <v>0</v>
      </c>
      <c r="D12" s="23">
        <f>D8*D10</f>
        <v>12604.498356920054</v>
      </c>
      <c r="E12" s="23">
        <f>E10*E8</f>
        <v>3270.8896366931954</v>
      </c>
      <c r="F12" s="23">
        <f>F10*F8</f>
        <v>9230.7683704627234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2144</v>
      </c>
      <c r="C18" s="166" t="s">
        <v>110</v>
      </c>
      <c r="D18" s="228"/>
      <c r="E18" s="15"/>
    </row>
    <row r="19" spans="1:7">
      <c r="A19" s="171" t="s">
        <v>71</v>
      </c>
      <c r="B19" s="37">
        <f>aantalw2001_ander</f>
        <v>12</v>
      </c>
      <c r="C19" s="166" t="s">
        <v>110</v>
      </c>
      <c r="D19" s="229"/>
      <c r="E19" s="15"/>
    </row>
    <row r="20" spans="1:7">
      <c r="A20" s="171" t="s">
        <v>72</v>
      </c>
      <c r="B20" s="37">
        <f>aantalw2001_propaan</f>
        <v>63</v>
      </c>
      <c r="C20" s="167">
        <f>IF(ISERROR(B20/SUM($B$20,$B$21,$B$22)*100),0,B20/SUM($B$20,$B$21,$B$22)*100)</f>
        <v>12.574850299401197</v>
      </c>
      <c r="D20" s="229"/>
      <c r="E20" s="15"/>
    </row>
    <row r="21" spans="1:7">
      <c r="A21" s="171" t="s">
        <v>73</v>
      </c>
      <c r="B21" s="37">
        <f>aantalw2001_elektriciteit</f>
        <v>245</v>
      </c>
      <c r="C21" s="167">
        <f>IF(ISERROR(B21/SUM($B$20,$B$21,$B$22)*100),0,B21/SUM($B$20,$B$21,$B$22)*100)</f>
        <v>48.902195608782435</v>
      </c>
      <c r="D21" s="229"/>
      <c r="E21" s="15"/>
    </row>
    <row r="22" spans="1:7">
      <c r="A22" s="171" t="s">
        <v>74</v>
      </c>
      <c r="B22" s="37">
        <f>aantalw2001_hout</f>
        <v>193</v>
      </c>
      <c r="C22" s="167">
        <f>IF(ISERROR(B22/SUM($B$20,$B$21,$B$22)*100),0,B22/SUM($B$20,$B$21,$B$22)*100)</f>
        <v>38.522954091816366</v>
      </c>
      <c r="D22" s="229"/>
      <c r="E22" s="15"/>
    </row>
    <row r="23" spans="1:7">
      <c r="A23" s="171" t="s">
        <v>75</v>
      </c>
      <c r="B23" s="37">
        <f>aantalw2001_niet_gespec</f>
        <v>70</v>
      </c>
      <c r="C23" s="166" t="s">
        <v>110</v>
      </c>
      <c r="D23" s="228"/>
      <c r="E23" s="15"/>
    </row>
    <row r="24" spans="1:7">
      <c r="A24" s="171" t="s">
        <v>76</v>
      </c>
      <c r="B24" s="37">
        <f>aantalw2001_steenkool</f>
        <v>116</v>
      </c>
      <c r="C24" s="166" t="s">
        <v>110</v>
      </c>
      <c r="D24" s="229"/>
      <c r="E24" s="15"/>
    </row>
    <row r="25" spans="1:7">
      <c r="A25" s="171" t="s">
        <v>77</v>
      </c>
      <c r="B25" s="37">
        <f>aantalw2001_stookolie</f>
        <v>3477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7312</v>
      </c>
      <c r="C28" s="36"/>
      <c r="D28" s="228"/>
    </row>
    <row r="29" spans="1:7" s="15" customFormat="1">
      <c r="A29" s="230" t="s">
        <v>696</v>
      </c>
      <c r="B29" s="37">
        <f>SUM(HH_hh_gas_aantal,HH_rest_gas_aantal)</f>
        <v>4123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4123</v>
      </c>
      <c r="C32" s="167">
        <f>IF(ISERROR(B32/SUM($B$32,$B$34,$B$35,$B$36,$B$38,$B$39)*100),0,B32/SUM($B$32,$B$34,$B$35,$B$36,$B$38,$B$39)*100)</f>
        <v>57.081545064377679</v>
      </c>
      <c r="D32" s="233"/>
      <c r="G32" s="15"/>
    </row>
    <row r="33" spans="1:7">
      <c r="A33" s="171" t="s">
        <v>71</v>
      </c>
      <c r="B33" s="34" t="s">
        <v>110</v>
      </c>
      <c r="C33" s="167"/>
      <c r="D33" s="233"/>
      <c r="G33" s="15"/>
    </row>
    <row r="34" spans="1:7">
      <c r="A34" s="171" t="s">
        <v>72</v>
      </c>
      <c r="B34" s="33">
        <f>IF((($B$28-$B$32-$B$39-$B$77-$B$38)*C20/100)&lt;0,0,($B$28-$B$32-$B$39-$B$77-$B$38)*C20/100)</f>
        <v>176.56347305389224</v>
      </c>
      <c r="C34" s="167">
        <f>IF(ISERROR(B34/SUM($B$32,$B$34,$B$35,$B$36,$B$38,$B$39)*100),0,B34/SUM($B$32,$B$34,$B$35,$B$36,$B$38,$B$39)*100)</f>
        <v>2.4444617617872382</v>
      </c>
      <c r="D34" s="233"/>
      <c r="G34" s="15"/>
    </row>
    <row r="35" spans="1:7">
      <c r="A35" s="171" t="s">
        <v>73</v>
      </c>
      <c r="B35" s="33">
        <f>IF((($B$28-$B$32-$B$39-$B$77-$B$38)*C21/100)&lt;0,0,($B$28-$B$32-$B$39-$B$77-$B$38)*C21/100)</f>
        <v>686.63572854291431</v>
      </c>
      <c r="C35" s="167">
        <f>IF(ISERROR(B35/SUM($B$32,$B$34,$B$35,$B$36,$B$38,$B$39)*100),0,B35/SUM($B$32,$B$34,$B$35,$B$36,$B$38,$B$39)*100)</f>
        <v>9.5062401847281492</v>
      </c>
      <c r="D35" s="233"/>
      <c r="G35" s="15"/>
    </row>
    <row r="36" spans="1:7">
      <c r="A36" s="171" t="s">
        <v>74</v>
      </c>
      <c r="B36" s="33">
        <f>IF((($B$28-$B$32-$B$39-$B$77-$B$38)*C22/100)&lt;0,0,($B$28-$B$32-$B$39-$B$77-$B$38)*C22/100)</f>
        <v>540.90079840319368</v>
      </c>
      <c r="C36" s="167">
        <f>IF(ISERROR(B36/SUM($B$32,$B$34,$B$35,$B$36,$B$38,$B$39)*100),0,B36/SUM($B$32,$B$34,$B$35,$B$36,$B$38,$B$39)*100)</f>
        <v>7.4885892067450319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1695.8999999999999</v>
      </c>
      <c r="C39" s="167">
        <f>IF(ISERROR(B39/SUM($B$32,$B$34,$B$35,$B$36,$B$38,$B$39)*100),0,B39/SUM($B$32,$B$34,$B$35,$B$36,$B$38,$B$39)*100)</f>
        <v>23.479163782361898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4123</v>
      </c>
      <c r="C44" s="34" t="s">
        <v>110</v>
      </c>
      <c r="D44" s="174"/>
    </row>
    <row r="45" spans="1:7">
      <c r="A45" s="171" t="s">
        <v>71</v>
      </c>
      <c r="B45" s="33" t="str">
        <f t="shared" si="0"/>
        <v>-</v>
      </c>
      <c r="C45" s="34" t="s">
        <v>110</v>
      </c>
      <c r="D45" s="174"/>
    </row>
    <row r="46" spans="1:7">
      <c r="A46" s="171" t="s">
        <v>72</v>
      </c>
      <c r="B46" s="33">
        <f t="shared" si="0"/>
        <v>176.56347305389224</v>
      </c>
      <c r="C46" s="34" t="s">
        <v>110</v>
      </c>
      <c r="D46" s="174"/>
    </row>
    <row r="47" spans="1:7">
      <c r="A47" s="171" t="s">
        <v>73</v>
      </c>
      <c r="B47" s="33">
        <f t="shared" si="0"/>
        <v>686.63572854291431</v>
      </c>
      <c r="C47" s="34" t="s">
        <v>110</v>
      </c>
      <c r="D47" s="174"/>
    </row>
    <row r="48" spans="1:7">
      <c r="A48" s="171" t="s">
        <v>74</v>
      </c>
      <c r="B48" s="33">
        <f t="shared" si="0"/>
        <v>540.90079840319368</v>
      </c>
      <c r="C48" s="33">
        <f>B48*10</f>
        <v>5409.0079840319368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1695.8999999999999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22000.403011979997</v>
      </c>
      <c r="C5" s="17">
        <f>IF(ISERROR('Eigen informatie GS &amp; warmtenet'!B58),0,'Eigen informatie GS &amp; warmtenet'!B58)</f>
        <v>0</v>
      </c>
      <c r="D5" s="30">
        <f>SUM(D6:D12)</f>
        <v>21104.348762449481</v>
      </c>
      <c r="E5" s="17">
        <f>SUM(E6:E12)</f>
        <v>382.17677992053581</v>
      </c>
      <c r="F5" s="17">
        <f>SUM(F6:F12)</f>
        <v>5962.2526874889491</v>
      </c>
      <c r="G5" s="18"/>
      <c r="H5" s="17"/>
      <c r="I5" s="17"/>
      <c r="J5" s="17">
        <f>SUM(J6:J12)</f>
        <v>0</v>
      </c>
      <c r="K5" s="17"/>
      <c r="L5" s="17"/>
      <c r="M5" s="17"/>
      <c r="N5" s="17">
        <f>SUM(N6:N12)</f>
        <v>5942.2977980384412</v>
      </c>
      <c r="O5" s="17">
        <f>B38*B39*B40</f>
        <v>10.943333333333335</v>
      </c>
      <c r="P5" s="17">
        <f>B46*B47*B48/1000-B46*B47*B48/1000/B49</f>
        <v>19.066666666666666</v>
      </c>
      <c r="R5" s="32"/>
    </row>
    <row r="6" spans="1:18">
      <c r="A6" s="32" t="s">
        <v>53</v>
      </c>
      <c r="B6" s="37">
        <f>B26</f>
        <v>2266.8284733</v>
      </c>
      <c r="C6" s="33"/>
      <c r="D6" s="37">
        <f>IF(ISERROR(TER_kantoor_gas_kWh/1000),0,TER_kantoor_gas_kWh/1000)*0.902</f>
        <v>2792.754019946</v>
      </c>
      <c r="E6" s="33">
        <f>$C$26*'E Balans VL '!I12/100/3.6*1000000</f>
        <v>29.67557704327734</v>
      </c>
      <c r="F6" s="33">
        <f>$C$26*('E Balans VL '!L12+'E Balans VL '!N12)/100/3.6*1000000</f>
        <v>578.01783616107798</v>
      </c>
      <c r="G6" s="34"/>
      <c r="H6" s="33"/>
      <c r="I6" s="33"/>
      <c r="J6" s="33">
        <f>$C$26*('E Balans VL '!D12+'E Balans VL '!E12)/100/3.6*1000000</f>
        <v>0</v>
      </c>
      <c r="K6" s="33"/>
      <c r="L6" s="33"/>
      <c r="M6" s="33"/>
      <c r="N6" s="33">
        <f>$C$26*'E Balans VL '!Y12/100/3.6*1000000</f>
        <v>2.2744618967661365</v>
      </c>
      <c r="O6" s="33"/>
      <c r="P6" s="33"/>
      <c r="R6" s="32"/>
    </row>
    <row r="7" spans="1:18">
      <c r="A7" s="32" t="s">
        <v>52</v>
      </c>
      <c r="B7" s="37">
        <f t="shared" ref="B7:B12" si="0">B27</f>
        <v>4625.9206823000004</v>
      </c>
      <c r="C7" s="33"/>
      <c r="D7" s="37">
        <f>IF(ISERROR(TER_horeca_gas_kWh/1000),0,TER_horeca_gas_kWh/1000)*0.902</f>
        <v>7185.3539947288</v>
      </c>
      <c r="E7" s="33">
        <f>$C$27*'E Balans VL '!I9/100/3.6*1000000</f>
        <v>153.0898360525531</v>
      </c>
      <c r="F7" s="33">
        <f>$C$27*('E Balans VL '!L9+'E Balans VL '!N9)/100/3.6*1000000</f>
        <v>1989.1281647135022</v>
      </c>
      <c r="G7" s="34"/>
      <c r="H7" s="33"/>
      <c r="I7" s="33"/>
      <c r="J7" s="33">
        <f>$C$27*('E Balans VL '!D9+'E Balans VL '!E9)/100/3.6*1000000</f>
        <v>0</v>
      </c>
      <c r="K7" s="33"/>
      <c r="L7" s="33"/>
      <c r="M7" s="33"/>
      <c r="N7" s="33">
        <f>$C$27*'E Balans VL '!Y9/100/3.6*1000000</f>
        <v>1.1135262839698421</v>
      </c>
      <c r="O7" s="33"/>
      <c r="P7" s="33"/>
      <c r="R7" s="32"/>
    </row>
    <row r="8" spans="1:18">
      <c r="A8" s="6" t="s">
        <v>51</v>
      </c>
      <c r="B8" s="37">
        <f t="shared" si="0"/>
        <v>4193.4497373000004</v>
      </c>
      <c r="C8" s="33"/>
      <c r="D8" s="37">
        <f>IF(ISERROR(TER_handel_gas_kWh/1000),0,TER_handel_gas_kWh/1000)*0.902</f>
        <v>1891.5526674330001</v>
      </c>
      <c r="E8" s="33">
        <f>$C$28*'E Balans VL '!I13/100/3.6*1000000</f>
        <v>132.35168110966015</v>
      </c>
      <c r="F8" s="33">
        <f>$C$28*('E Balans VL '!L13+'E Balans VL '!N13)/100/3.6*1000000</f>
        <v>822.40933554988203</v>
      </c>
      <c r="G8" s="34"/>
      <c r="H8" s="33"/>
      <c r="I8" s="33"/>
      <c r="J8" s="33">
        <f>$C$28*('E Balans VL '!D13+'E Balans VL '!E13)/100/3.6*1000000</f>
        <v>0</v>
      </c>
      <c r="K8" s="33"/>
      <c r="L8" s="33"/>
      <c r="M8" s="33"/>
      <c r="N8" s="33">
        <f>$C$28*'E Balans VL '!Y13/100/3.6*1000000</f>
        <v>4.9768106899034672</v>
      </c>
      <c r="O8" s="33"/>
      <c r="P8" s="33"/>
      <c r="R8" s="32"/>
    </row>
    <row r="9" spans="1:18">
      <c r="A9" s="32" t="s">
        <v>50</v>
      </c>
      <c r="B9" s="37">
        <f t="shared" si="0"/>
        <v>362.25208260000005</v>
      </c>
      <c r="C9" s="33"/>
      <c r="D9" s="37">
        <f>IF(ISERROR(TER_gezond_gas_kWh/1000),0,TER_gezond_gas_kWh/1000)*0.902</f>
        <v>924.31249690559991</v>
      </c>
      <c r="E9" s="33">
        <f>$C$29*'E Balans VL '!I10/100/3.6*1000000</f>
        <v>4.6378864022338935E-2</v>
      </c>
      <c r="F9" s="33">
        <f>$C$29*('E Balans VL '!L10+'E Balans VL '!N10)/100/3.6*1000000</f>
        <v>75.472292181817735</v>
      </c>
      <c r="G9" s="34"/>
      <c r="H9" s="33"/>
      <c r="I9" s="33"/>
      <c r="J9" s="33">
        <f>$C$29*('E Balans VL '!D10+'E Balans VL '!E10)/100/3.6*1000000</f>
        <v>0</v>
      </c>
      <c r="K9" s="33"/>
      <c r="L9" s="33"/>
      <c r="M9" s="33"/>
      <c r="N9" s="33">
        <f>$C$29*'E Balans VL '!Y10/100/3.6*1000000</f>
        <v>4.2548219329811898</v>
      </c>
      <c r="O9" s="33"/>
      <c r="P9" s="33"/>
      <c r="R9" s="32"/>
    </row>
    <row r="10" spans="1:18">
      <c r="A10" s="32" t="s">
        <v>49</v>
      </c>
      <c r="B10" s="37">
        <f t="shared" si="0"/>
        <v>7168.5605214999996</v>
      </c>
      <c r="C10" s="33"/>
      <c r="D10" s="37">
        <f>IF(ISERROR(TER_ander_gas_kWh/1000),0,TER_ander_gas_kWh/1000)*0.902</f>
        <v>2780.8194026800002</v>
      </c>
      <c r="E10" s="33">
        <f>$C$30*'E Balans VL '!I14/100/3.6*1000000</f>
        <v>10.779829225586417</v>
      </c>
      <c r="F10" s="33">
        <f>$C$30*('E Balans VL '!L14+'E Balans VL '!N14)/100/3.6*1000000</f>
        <v>1582.5870874878085</v>
      </c>
      <c r="G10" s="34"/>
      <c r="H10" s="33"/>
      <c r="I10" s="33"/>
      <c r="J10" s="33">
        <f>$C$30*('E Balans VL '!D14+'E Balans VL '!E14)/100/3.6*1000000</f>
        <v>0</v>
      </c>
      <c r="K10" s="33"/>
      <c r="L10" s="33"/>
      <c r="M10" s="33"/>
      <c r="N10" s="33">
        <f>$C$30*'E Balans VL '!Y14/100/3.6*1000000</f>
        <v>5649.3081168758281</v>
      </c>
      <c r="O10" s="33"/>
      <c r="P10" s="33"/>
      <c r="R10" s="32"/>
    </row>
    <row r="11" spans="1:18">
      <c r="A11" s="32" t="s">
        <v>54</v>
      </c>
      <c r="B11" s="37">
        <f t="shared" si="0"/>
        <v>210.54933937999999</v>
      </c>
      <c r="C11" s="33"/>
      <c r="D11" s="37">
        <f>IF(ISERROR(TER_onderwijs_gas_kWh/1000),0,TER_onderwijs_gas_kWh/1000)*0.902</f>
        <v>406.23825247148</v>
      </c>
      <c r="E11" s="33">
        <f>$C$31*'E Balans VL '!I11/100/3.6*1000000</f>
        <v>0.37079503062183122</v>
      </c>
      <c r="F11" s="33">
        <f>$C$31*('E Balans VL '!L11+'E Balans VL '!N11)/100/3.6*1000000</f>
        <v>97.214439875740808</v>
      </c>
      <c r="G11" s="34"/>
      <c r="H11" s="33"/>
      <c r="I11" s="33"/>
      <c r="J11" s="33">
        <f>$C$31*('E Balans VL '!D11+'E Balans VL '!E11)/100/3.6*1000000</f>
        <v>0</v>
      </c>
      <c r="K11" s="33"/>
      <c r="L11" s="33"/>
      <c r="M11" s="33"/>
      <c r="N11" s="33">
        <f>$C$31*'E Balans VL '!Y11/100/3.6*1000000</f>
        <v>0.39225633090516199</v>
      </c>
      <c r="O11" s="33"/>
      <c r="P11" s="33"/>
      <c r="R11" s="32"/>
    </row>
    <row r="12" spans="1:18">
      <c r="A12" s="32" t="s">
        <v>259</v>
      </c>
      <c r="B12" s="37">
        <f t="shared" si="0"/>
        <v>3172.8421756000002</v>
      </c>
      <c r="C12" s="33"/>
      <c r="D12" s="37">
        <f>IF(ISERROR(TER_rest_gas_kWh/1000),0,TER_rest_gas_kWh/1000)*0.902</f>
        <v>5123.3179282846004</v>
      </c>
      <c r="E12" s="33">
        <f>$C$32*'E Balans VL '!I8/100/3.6*1000000</f>
        <v>55.862682594814608</v>
      </c>
      <c r="F12" s="33">
        <f>$C$32*('E Balans VL '!L8+'E Balans VL '!N8)/100/3.6*1000000</f>
        <v>817.42353151911914</v>
      </c>
      <c r="G12" s="34"/>
      <c r="H12" s="33"/>
      <c r="I12" s="33"/>
      <c r="J12" s="33">
        <f>$C$32*('E Balans VL '!D8+'E Balans VL '!E8)/100/3.6*1000000</f>
        <v>0</v>
      </c>
      <c r="K12" s="33"/>
      <c r="L12" s="33"/>
      <c r="M12" s="33"/>
      <c r="N12" s="33">
        <f>$C$32*'E Balans VL '!Y8/100/3.6*1000000</f>
        <v>279.97780402808735</v>
      </c>
      <c r="O12" s="33"/>
      <c r="P12" s="33"/>
      <c r="R12" s="32"/>
    </row>
    <row r="13" spans="1:18">
      <c r="A13" s="16" t="s">
        <v>490</v>
      </c>
      <c r="B13" s="247">
        <f ca="1">'lokale energieproductie'!N38+'lokale energieproductie'!N31</f>
        <v>1341</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-3831.4285714285716</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23341.403011979997</v>
      </c>
      <c r="C16" s="21">
        <f t="shared" ca="1" si="1"/>
        <v>0</v>
      </c>
      <c r="D16" s="21">
        <f t="shared" ca="1" si="1"/>
        <v>21104.348762449481</v>
      </c>
      <c r="E16" s="21">
        <f t="shared" si="1"/>
        <v>382.17677992053581</v>
      </c>
      <c r="F16" s="21">
        <f t="shared" ca="1" si="1"/>
        <v>5962.2526874889491</v>
      </c>
      <c r="G16" s="21">
        <f t="shared" si="1"/>
        <v>0</v>
      </c>
      <c r="H16" s="21">
        <f t="shared" si="1"/>
        <v>0</v>
      </c>
      <c r="I16" s="21">
        <f t="shared" si="1"/>
        <v>0</v>
      </c>
      <c r="J16" s="21">
        <f t="shared" si="1"/>
        <v>0</v>
      </c>
      <c r="K16" s="21">
        <f t="shared" si="1"/>
        <v>0</v>
      </c>
      <c r="L16" s="21">
        <f t="shared" ca="1" si="1"/>
        <v>0</v>
      </c>
      <c r="M16" s="21">
        <f t="shared" si="1"/>
        <v>0</v>
      </c>
      <c r="N16" s="21">
        <f t="shared" ca="1" si="1"/>
        <v>2110.8692266098697</v>
      </c>
      <c r="O16" s="21">
        <f>O5</f>
        <v>10.943333333333335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0.19263913115696801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4496.4675962124629</v>
      </c>
      <c r="C20" s="23">
        <f t="shared" ref="C20:P20" ca="1" si="2">C16*C18</f>
        <v>0</v>
      </c>
      <c r="D20" s="23">
        <f t="shared" ca="1" si="2"/>
        <v>4263.0784500147956</v>
      </c>
      <c r="E20" s="23">
        <f t="shared" si="2"/>
        <v>86.754129041961633</v>
      </c>
      <c r="F20" s="23">
        <f t="shared" ca="1" si="2"/>
        <v>1591.9214675595495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2266.8284733</v>
      </c>
      <c r="C26" s="39">
        <f>IF(ISERROR(B26*3.6/1000000/'E Balans VL '!Z12*100),0,B26*3.6/1000000/'E Balans VL '!Z12*100)</f>
        <v>4.8557226928553208E-2</v>
      </c>
      <c r="D26" s="237" t="s">
        <v>659</v>
      </c>
      <c r="F26" s="6"/>
    </row>
    <row r="27" spans="1:18">
      <c r="A27" s="231" t="s">
        <v>52</v>
      </c>
      <c r="B27" s="33">
        <f>IF(ISERROR(TER_horeca_ele_kWh/1000),0,TER_horeca_ele_kWh/1000)</f>
        <v>4625.9206823000004</v>
      </c>
      <c r="C27" s="39">
        <f>IF(ISERROR(B27*3.6/1000000/'E Balans VL '!Z9*100),0,B27*3.6/1000000/'E Balans VL '!Z9*100)</f>
        <v>0.37121405521840983</v>
      </c>
      <c r="D27" s="237" t="s">
        <v>659</v>
      </c>
      <c r="F27" s="6"/>
    </row>
    <row r="28" spans="1:18">
      <c r="A28" s="171" t="s">
        <v>51</v>
      </c>
      <c r="B28" s="33">
        <f>IF(ISERROR(TER_handel_ele_kWh/1000),0,TER_handel_ele_kWh/1000)</f>
        <v>4193.4497373000004</v>
      </c>
      <c r="C28" s="39">
        <f>IF(ISERROR(B28*3.6/1000000/'E Balans VL '!Z13*100),0,B28*3.6/1000000/'E Balans VL '!Z13*100)</f>
        <v>0.12368271458203986</v>
      </c>
      <c r="D28" s="237" t="s">
        <v>659</v>
      </c>
      <c r="F28" s="6"/>
    </row>
    <row r="29" spans="1:18">
      <c r="A29" s="231" t="s">
        <v>50</v>
      </c>
      <c r="B29" s="33">
        <f>IF(ISERROR(TER_gezond_ele_kWh/1000),0,TER_gezond_ele_kWh/1000)</f>
        <v>362.25208260000005</v>
      </c>
      <c r="C29" s="39">
        <f>IF(ISERROR(B29*3.6/1000000/'E Balans VL '!Z10*100),0,B29*3.6/1000000/'E Balans VL '!Z10*100)</f>
        <v>3.8678810079135657E-2</v>
      </c>
      <c r="D29" s="237" t="s">
        <v>659</v>
      </c>
      <c r="F29" s="6"/>
    </row>
    <row r="30" spans="1:18">
      <c r="A30" s="231" t="s">
        <v>49</v>
      </c>
      <c r="B30" s="33">
        <f>IF(ISERROR(TER_ander_ele_kWh/1000),0,TER_ander_ele_kWh/1000)</f>
        <v>7168.5605214999996</v>
      </c>
      <c r="C30" s="39">
        <f>IF(ISERROR(B30*3.6/1000000/'E Balans VL '!Z14*100),0,B30*3.6/1000000/'E Balans VL '!Z14*100)</f>
        <v>0.5414695259905935</v>
      </c>
      <c r="D30" s="237" t="s">
        <v>659</v>
      </c>
      <c r="F30" s="6"/>
    </row>
    <row r="31" spans="1:18">
      <c r="A31" s="231" t="s">
        <v>54</v>
      </c>
      <c r="B31" s="33">
        <f>IF(ISERROR(TER_onderwijs_ele_kWh/1000),0,TER_onderwijs_ele_kWh/1000)</f>
        <v>210.54933937999999</v>
      </c>
      <c r="C31" s="39">
        <f>IF(ISERROR(B31*3.6/1000000/'E Balans VL '!Z11*100),0,B31*3.6/1000000/'E Balans VL '!Z11*100)</f>
        <v>4.2516940300765631E-2</v>
      </c>
      <c r="D31" s="237" t="s">
        <v>659</v>
      </c>
    </row>
    <row r="32" spans="1:18">
      <c r="A32" s="231" t="s">
        <v>259</v>
      </c>
      <c r="B32" s="33">
        <f>IF(ISERROR(TER_rest_ele_kWh/1000),0,TER_rest_ele_kWh/1000)</f>
        <v>3172.8421756000002</v>
      </c>
      <c r="C32" s="39">
        <f>IF(ISERROR(B32*3.6/1000000/'E Balans VL '!Z8*100),0,B32*3.6/1000000/'E Balans VL '!Z8*100)</f>
        <v>2.6307279786580456E-2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15115.338552990001</v>
      </c>
      <c r="C5" s="17">
        <f>IF(ISERROR('Eigen informatie GS &amp; warmtenet'!B59),0,'Eigen informatie GS &amp; warmtenet'!B59)</f>
        <v>0</v>
      </c>
      <c r="D5" s="30">
        <f>SUM(D6:D15)</f>
        <v>3919.0389090467997</v>
      </c>
      <c r="E5" s="17">
        <f>SUM(E6:E15)</f>
        <v>758.124912536377</v>
      </c>
      <c r="F5" s="17">
        <f>SUM(F6:F15)</f>
        <v>4426.1299050378439</v>
      </c>
      <c r="G5" s="18"/>
      <c r="H5" s="17"/>
      <c r="I5" s="17"/>
      <c r="J5" s="17">
        <f>SUM(J6:J15)</f>
        <v>10.301748251934725</v>
      </c>
      <c r="K5" s="17"/>
      <c r="L5" s="17"/>
      <c r="M5" s="17"/>
      <c r="N5" s="17">
        <f>SUM(N6:N15)</f>
        <v>5013.0113116513576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132.98248404</v>
      </c>
      <c r="C8" s="33"/>
      <c r="D8" s="37">
        <f>IF( ISERROR(IND_metaal_Gas_kWH/1000),0,IND_metaal_Gas_kWH/1000)*0.902</f>
        <v>0</v>
      </c>
      <c r="E8" s="33">
        <f>C30*'E Balans VL '!I18/100/3.6*1000000</f>
        <v>4.7851120750444878</v>
      </c>
      <c r="F8" s="33">
        <f>C30*'E Balans VL '!L18/100/3.6*1000000+C30*'E Balans VL '!N18/100/3.6*1000000</f>
        <v>58.06913995193689</v>
      </c>
      <c r="G8" s="34"/>
      <c r="H8" s="33"/>
      <c r="I8" s="33"/>
      <c r="J8" s="40">
        <f>C30*'E Balans VL '!D18/100/3.6*1000000+C30*'E Balans VL '!E18/100/3.6*1000000</f>
        <v>0</v>
      </c>
      <c r="K8" s="33"/>
      <c r="L8" s="33"/>
      <c r="M8" s="33"/>
      <c r="N8" s="33">
        <f>C30*'E Balans VL '!Y18/100/3.6*1000000</f>
        <v>6.6649917289112013</v>
      </c>
      <c r="O8" s="33"/>
      <c r="P8" s="33"/>
      <c r="R8" s="32"/>
    </row>
    <row r="9" spans="1:18">
      <c r="A9" s="6" t="s">
        <v>32</v>
      </c>
      <c r="B9" s="37">
        <f t="shared" si="0"/>
        <v>1579.0691145999999</v>
      </c>
      <c r="C9" s="33"/>
      <c r="D9" s="37">
        <f>IF( ISERROR(IND_andere_gas_kWh/1000),0,IND_andere_gas_kWh/1000)*0.902</f>
        <v>1528.170583291</v>
      </c>
      <c r="E9" s="33">
        <f>C31*'E Balans VL '!I19/100/3.6*1000000</f>
        <v>402.9427106065138</v>
      </c>
      <c r="F9" s="33">
        <f>C31*'E Balans VL '!L19/100/3.6*1000000+C31*'E Balans VL '!N19/100/3.6*1000000</f>
        <v>1359.4598202217751</v>
      </c>
      <c r="G9" s="34"/>
      <c r="H9" s="33"/>
      <c r="I9" s="33"/>
      <c r="J9" s="40">
        <f>C31*'E Balans VL '!D19/100/3.6*1000000+C31*'E Balans VL '!E19/100/3.6*1000000</f>
        <v>0</v>
      </c>
      <c r="K9" s="33"/>
      <c r="L9" s="33"/>
      <c r="M9" s="33"/>
      <c r="N9" s="33">
        <f>C31*'E Balans VL '!Y19/100/3.6*1000000</f>
        <v>124.57007532314256</v>
      </c>
      <c r="O9" s="33"/>
      <c r="P9" s="33"/>
      <c r="R9" s="32"/>
    </row>
    <row r="10" spans="1:18">
      <c r="A10" s="6" t="s">
        <v>40</v>
      </c>
      <c r="B10" s="37">
        <f t="shared" si="0"/>
        <v>12887.914210000001</v>
      </c>
      <c r="C10" s="33"/>
      <c r="D10" s="37">
        <f>IF( ISERROR(IND_voed_gas_kWh/1000),0,IND_voed_gas_kWh/1000)*0.902</f>
        <v>1487.9624018754</v>
      </c>
      <c r="E10" s="33">
        <f>C32*'E Balans VL '!I20/100/3.6*1000000</f>
        <v>327.62847577461321</v>
      </c>
      <c r="F10" s="33">
        <f>C32*'E Balans VL '!L20/100/3.6*1000000+C32*'E Balans VL '!N20/100/3.6*1000000</f>
        <v>2916.341521446338</v>
      </c>
      <c r="G10" s="34"/>
      <c r="H10" s="33"/>
      <c r="I10" s="33"/>
      <c r="J10" s="40">
        <f>C32*'E Balans VL '!D20/100/3.6*1000000+C32*'E Balans VL '!E20/100/3.6*1000000</f>
        <v>0</v>
      </c>
      <c r="K10" s="33"/>
      <c r="L10" s="33"/>
      <c r="M10" s="33"/>
      <c r="N10" s="33">
        <f>C32*'E Balans VL '!Y20/100/3.6*1000000</f>
        <v>4833.3171694055081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104.0760111</v>
      </c>
      <c r="C13" s="33"/>
      <c r="D13" s="37">
        <f>IF( ISERROR(IND_papier_gas_kWh/1000),0,IND_papier_gas_kWh/1000)*0.902</f>
        <v>0</v>
      </c>
      <c r="E13" s="33">
        <f>C35*'E Balans VL '!I23/100/3.6*1000000</f>
        <v>0.44635173404542794</v>
      </c>
      <c r="F13" s="33">
        <f>C35*'E Balans VL '!L23/100/3.6*1000000+C35*'E Balans VL '!N23/100/3.6*1000000</f>
        <v>2.6157531903172631</v>
      </c>
      <c r="G13" s="34"/>
      <c r="H13" s="33"/>
      <c r="I13" s="33"/>
      <c r="J13" s="40">
        <f>C35*'E Balans VL '!D23/100/3.6*1000000+C35*'E Balans VL '!E23/100/3.6*1000000</f>
        <v>6.9673181097058974</v>
      </c>
      <c r="K13" s="33"/>
      <c r="L13" s="33"/>
      <c r="M13" s="33"/>
      <c r="N13" s="33">
        <f>C35*'E Balans VL '!Y23/100/3.6*1000000</f>
        <v>25.380356032895612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411.29673324999999</v>
      </c>
      <c r="C15" s="33"/>
      <c r="D15" s="37">
        <f>IF( ISERROR(IND_rest_gas_kWh/1000),0,IND_rest_gas_kWh/1000)*0.902</f>
        <v>902.9059238804</v>
      </c>
      <c r="E15" s="33">
        <f>C37*'E Balans VL '!I15/100/3.6*1000000</f>
        <v>22.32226234616007</v>
      </c>
      <c r="F15" s="33">
        <f>C37*'E Balans VL '!L15/100/3.6*1000000+C37*'E Balans VL '!N15/100/3.6*1000000</f>
        <v>89.643670227477003</v>
      </c>
      <c r="G15" s="34"/>
      <c r="H15" s="33"/>
      <c r="I15" s="33"/>
      <c r="J15" s="40">
        <f>C37*'E Balans VL '!D15/100/3.6*1000000+C37*'E Balans VL '!E15/100/3.6*1000000</f>
        <v>3.3344301422288289</v>
      </c>
      <c r="K15" s="33"/>
      <c r="L15" s="33"/>
      <c r="M15" s="33"/>
      <c r="N15" s="33">
        <f>C37*'E Balans VL '!Y15/100/3.6*1000000</f>
        <v>23.078719160900924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15115.338552990001</v>
      </c>
      <c r="C18" s="21">
        <f>C5+C16</f>
        <v>0</v>
      </c>
      <c r="D18" s="21">
        <f>MAX((D5+D16),0)</f>
        <v>3919.0389090467997</v>
      </c>
      <c r="E18" s="21">
        <f>MAX((E5+E16),0)</f>
        <v>758.124912536377</v>
      </c>
      <c r="F18" s="21">
        <f>MAX((F5+F16),0)</f>
        <v>4426.1299050378439</v>
      </c>
      <c r="G18" s="21"/>
      <c r="H18" s="21"/>
      <c r="I18" s="21"/>
      <c r="J18" s="21">
        <f>MAX((J5+J16),0)</f>
        <v>10.301748251934725</v>
      </c>
      <c r="K18" s="21"/>
      <c r="L18" s="21">
        <f>MAX((L5+L16),0)</f>
        <v>0</v>
      </c>
      <c r="M18" s="21"/>
      <c r="N18" s="21">
        <f>MAX((N5+N16),0)</f>
        <v>5013.0113116513576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0.19263913115696801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2911.8056859914159</v>
      </c>
      <c r="C22" s="23">
        <f ca="1">C18*C20</f>
        <v>0</v>
      </c>
      <c r="D22" s="23">
        <f>D18*D20</f>
        <v>791.64585962745355</v>
      </c>
      <c r="E22" s="23">
        <f>E18*E20</f>
        <v>172.09435514575759</v>
      </c>
      <c r="F22" s="23">
        <f>F18*F20</f>
        <v>1181.7766846451043</v>
      </c>
      <c r="G22" s="23"/>
      <c r="H22" s="23"/>
      <c r="I22" s="23"/>
      <c r="J22" s="23">
        <f>J18*J20</f>
        <v>3.6468188811848927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132.98248404</v>
      </c>
      <c r="C30" s="39">
        <f>IF(ISERROR(B30*3.6/1000000/'E Balans VL '!Z18*100),0,B30*3.6/1000000/'E Balans VL '!Z18*100)</f>
        <v>2.8176137298759663E-2</v>
      </c>
      <c r="D30" s="237" t="s">
        <v>659</v>
      </c>
    </row>
    <row r="31" spans="1:18">
      <c r="A31" s="6" t="s">
        <v>32</v>
      </c>
      <c r="B31" s="37">
        <f>IF( ISERROR(IND_ander_ele_kWh/1000),0,IND_ander_ele_kWh/1000)</f>
        <v>1579.0691145999999</v>
      </c>
      <c r="C31" s="39">
        <f>IF(ISERROR(B31*3.6/1000000/'E Balans VL '!Z19*100),0,B31*3.6/1000000/'E Balans VL '!Z19*100)</f>
        <v>6.6466604570700166E-2</v>
      </c>
      <c r="D31" s="237" t="s">
        <v>659</v>
      </c>
    </row>
    <row r="32" spans="1:18">
      <c r="A32" s="171" t="s">
        <v>40</v>
      </c>
      <c r="B32" s="37">
        <f>IF( ISERROR(IND_voed_ele_kWh/1000),0,IND_voed_ele_kWh/1000)</f>
        <v>12887.914210000001</v>
      </c>
      <c r="C32" s="39">
        <f>IF(ISERROR(B32*3.6/1000000/'E Balans VL '!Z20*100),0,B32*3.6/1000000/'E Balans VL '!Z20*100)</f>
        <v>2.1530718855009972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104.0760111</v>
      </c>
      <c r="C35" s="39">
        <f>IF(ISERROR(B35*3.6/1000000/'E Balans VL '!Z22*100),0,B35*3.6/1000000/'E Balans VL '!Z22*100)</f>
        <v>1.3192195687195143E-2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411.29673324999999</v>
      </c>
      <c r="C37" s="39">
        <f>IF(ISERROR(B37*3.6/1000000/'E Balans VL '!Z15*100),0,B37*3.6/1000000/'E Balans VL '!Z15*100)</f>
        <v>3.32055778892191E-3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4272.3839235599999</v>
      </c>
      <c r="C5" s="17">
        <f>'Eigen informatie GS &amp; warmtenet'!B60</f>
        <v>0</v>
      </c>
      <c r="D5" s="30">
        <f>IF(ISERROR(SUM(LB_lb_gas_kWh,LB_rest_gas_kWh)/1000),0,SUM(LB_lb_gas_kWh,LB_rest_gas_kWh)/1000)*0.902</f>
        <v>89.137549954332002</v>
      </c>
      <c r="E5" s="17">
        <f>B17*'E Balans VL '!I25/3.6*1000000/100</f>
        <v>110.16837733089707</v>
      </c>
      <c r="F5" s="17">
        <f>B17*('E Balans VL '!L25/3.6*1000000+'E Balans VL '!N25/3.6*1000000)/100</f>
        <v>15616.376876605931</v>
      </c>
      <c r="G5" s="18"/>
      <c r="H5" s="17"/>
      <c r="I5" s="17"/>
      <c r="J5" s="17">
        <f>('E Balans VL '!D25+'E Balans VL '!E25)/3.6*1000000*landbouw!B17/100</f>
        <v>615.0661182703551</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4272.3839235599999</v>
      </c>
      <c r="C8" s="21">
        <f>C5+C6</f>
        <v>62.357142857142847</v>
      </c>
      <c r="D8" s="21">
        <f>MAX((D5+D6),0)</f>
        <v>89.137549954332002</v>
      </c>
      <c r="E8" s="21">
        <f>MAX((E5+E6),0)</f>
        <v>110.16837733089707</v>
      </c>
      <c r="F8" s="21">
        <f>MAX((F5+F6),0)</f>
        <v>15616.376876605931</v>
      </c>
      <c r="G8" s="21"/>
      <c r="H8" s="21"/>
      <c r="I8" s="21"/>
      <c r="J8" s="21">
        <f>MAX((J5+J6),0)</f>
        <v>615.0661182703551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0.19263913115696801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823.02832700359636</v>
      </c>
      <c r="C12" s="23">
        <f ca="1">C8*C10</f>
        <v>0</v>
      </c>
      <c r="D12" s="23">
        <f>D8*D10</f>
        <v>18.005785090775067</v>
      </c>
      <c r="E12" s="23">
        <f>E8*E10</f>
        <v>25.008221654113637</v>
      </c>
      <c r="F12" s="23">
        <f>F8*F10</f>
        <v>4169.572626053784</v>
      </c>
      <c r="G12" s="23"/>
      <c r="H12" s="23"/>
      <c r="I12" s="23"/>
      <c r="J12" s="23">
        <f>J8*J10</f>
        <v>217.7334058677057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0.6024344328585105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728.16743759971439</v>
      </c>
      <c r="C26" s="247">
        <f>B26*'GWP N2O_CH4'!B5</f>
        <v>15291.516189594002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377.68797472683258</v>
      </c>
      <c r="C27" s="247">
        <f>B27*'GWP N2O_CH4'!B5</f>
        <v>7931.447469263484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20.706185494036003</v>
      </c>
      <c r="C28" s="247">
        <f>B28*'GWP N2O_CH4'!B4</f>
        <v>6418.9175031511613</v>
      </c>
      <c r="D28" s="50"/>
    </row>
    <row r="29" spans="1:4">
      <c r="A29" s="41" t="s">
        <v>276</v>
      </c>
      <c r="B29" s="247">
        <f>B34*'ha_N2O bodem landbouw'!B4</f>
        <v>20.385770752708318</v>
      </c>
      <c r="C29" s="247">
        <f>B29*'GWP N2O_CH4'!B4</f>
        <v>6319.5889333395789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4.5879062143671604E-3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8.8542456467148402E-5</v>
      </c>
      <c r="C5" s="437" t="s">
        <v>210</v>
      </c>
      <c r="D5" s="422">
        <f>SUM(D6:D11)</f>
        <v>1.7846807706998493E-4</v>
      </c>
      <c r="E5" s="422">
        <f>SUM(E6:E11)</f>
        <v>7.957086043063439E-4</v>
      </c>
      <c r="F5" s="435" t="s">
        <v>210</v>
      </c>
      <c r="G5" s="422">
        <f>SUM(G6:G11)</f>
        <v>0.28713981918565512</v>
      </c>
      <c r="H5" s="422">
        <f>SUM(H6:H11)</f>
        <v>6.0835270668584081E-2</v>
      </c>
      <c r="I5" s="437" t="s">
        <v>210</v>
      </c>
      <c r="J5" s="437" t="s">
        <v>210</v>
      </c>
      <c r="K5" s="437" t="s">
        <v>210</v>
      </c>
      <c r="L5" s="437" t="s">
        <v>210</v>
      </c>
      <c r="M5" s="422">
        <f>SUM(M6:M11)</f>
        <v>1.0856645847082699E-2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7.3594518740944203E-5</v>
      </c>
      <c r="C6" s="423"/>
      <c r="D6" s="865">
        <f>vkm_GW_PW*SUMIFS(TableVerdeelsleutelVkm[CNG],TableVerdeelsleutelVkm[Voertuigtype],"Lichte voertuigen")*SUMIFS(TableECFTransport[EnergieConsumptieFactor (PJ per km)],TableECFTransport[Index],CONCATENATE($A6,"_CNG_CNG"))</f>
        <v>1.3266712208528833E-4</v>
      </c>
      <c r="E6" s="865">
        <f>vkm_GW_PW*SUMIFS(TableVerdeelsleutelVkm[LPG],TableVerdeelsleutelVkm[Voertuigtype],"Lichte voertuigen")*SUMIFS(TableECFTransport[EnergieConsumptieFactor (PJ per km)],TableECFTransport[Index],CONCATENATE($A6,"_LPG_LPG"))</f>
        <v>5.9931394402340738E-4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0.16373175148427135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4.5551895070155286E-2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6.5162116149442466E-3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6.1813844301282769E-2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1.1154193977056702E-6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1.944667006796709E-3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1.49479377262042E-5</v>
      </c>
      <c r="C8" s="423"/>
      <c r="D8" s="425">
        <f>vkm_NGW_PW*SUMIFS(TableVerdeelsleutelVkm[CNG],TableVerdeelsleutelVkm[Voertuigtype],"Lichte voertuigen")*SUMIFS(TableECFTransport[EnergieConsumptieFactor (PJ per km)],TableECFTransport[Index],CONCATENATE($A8,"_CNG_CNG"))</f>
        <v>4.5800954984696596E-5</v>
      </c>
      <c r="E8" s="425">
        <f>vkm_NGW_PW*SUMIFS(TableVerdeelsleutelVkm[LPG],TableVerdeelsleutelVkm[Voertuigtype],"Lichte voertuigen")*SUMIFS(TableECFTransport[EnergieConsumptieFactor (PJ per km)],TableECFTransport[Index],CONCATENATE($A8,"_LPG_LPG"))</f>
        <v>1.9639466028293653E-4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5.0379683675411978E-2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1.5282010368510627E-2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2.0429557548859974E-3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1.1214539724689082E-2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2.4981052045764509E-7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3.5281147045574659E-4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24.595126796430112</v>
      </c>
      <c r="C14" s="21"/>
      <c r="D14" s="21">
        <f t="shared" ref="D14:M14" si="0">((D5)*10^9/3600)+D12</f>
        <v>49.574465852773592</v>
      </c>
      <c r="E14" s="21">
        <f t="shared" si="0"/>
        <v>221.03016786287333</v>
      </c>
      <c r="F14" s="21"/>
      <c r="G14" s="21">
        <f t="shared" si="0"/>
        <v>79761.060884904204</v>
      </c>
      <c r="H14" s="21">
        <f t="shared" si="0"/>
        <v>16898.68629682891</v>
      </c>
      <c r="I14" s="21"/>
      <c r="J14" s="21"/>
      <c r="K14" s="21"/>
      <c r="L14" s="21"/>
      <c r="M14" s="21">
        <f t="shared" si="0"/>
        <v>3015.7349575229719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0.19263913115696801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4.737983856759759</v>
      </c>
      <c r="C18" s="23"/>
      <c r="D18" s="23">
        <f t="shared" ref="D18:M18" si="1">D14*D16</f>
        <v>10.014042102260266</v>
      </c>
      <c r="E18" s="23">
        <f t="shared" si="1"/>
        <v>50.173848104872249</v>
      </c>
      <c r="F18" s="23"/>
      <c r="G18" s="23">
        <f t="shared" si="1"/>
        <v>21296.203256269422</v>
      </c>
      <c r="H18" s="23">
        <f t="shared" si="1"/>
        <v>4207.7728879103988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5.0872495910902265E-3</v>
      </c>
      <c r="H50" s="319">
        <f t="shared" si="2"/>
        <v>0</v>
      </c>
      <c r="I50" s="319">
        <f t="shared" si="2"/>
        <v>0</v>
      </c>
      <c r="J50" s="319">
        <f t="shared" si="2"/>
        <v>0</v>
      </c>
      <c r="K50" s="319">
        <f t="shared" si="2"/>
        <v>0</v>
      </c>
      <c r="L50" s="319">
        <f t="shared" si="2"/>
        <v>0</v>
      </c>
      <c r="M50" s="319">
        <f t="shared" si="2"/>
        <v>1.5759590592072042E-4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5.0872495910902265E-3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1.5759590592072042E-4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1413.1248864139518</v>
      </c>
      <c r="H54" s="21">
        <f t="shared" si="3"/>
        <v>0</v>
      </c>
      <c r="I54" s="21">
        <f t="shared" si="3"/>
        <v>0</v>
      </c>
      <c r="J54" s="21">
        <f t="shared" si="3"/>
        <v>0</v>
      </c>
      <c r="K54" s="21">
        <f t="shared" si="3"/>
        <v>0</v>
      </c>
      <c r="L54" s="21">
        <f t="shared" si="3"/>
        <v>0</v>
      </c>
      <c r="M54" s="21">
        <f t="shared" si="3"/>
        <v>43.776640533533453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0.19263913115696801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377.30434467252513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24142.708011979998</v>
      </c>
      <c r="D10" s="978">
        <f ca="1">tertiair!C16</f>
        <v>0</v>
      </c>
      <c r="E10" s="978">
        <f ca="1">tertiair!D16</f>
        <v>21104.348762449481</v>
      </c>
      <c r="F10" s="978">
        <f>tertiair!E16</f>
        <v>382.17677992053581</v>
      </c>
      <c r="G10" s="978">
        <f ca="1">tertiair!F16</f>
        <v>5962.2526874889491</v>
      </c>
      <c r="H10" s="978">
        <f>tertiair!G16</f>
        <v>0</v>
      </c>
      <c r="I10" s="978">
        <f>tertiair!H16</f>
        <v>0</v>
      </c>
      <c r="J10" s="978">
        <f>tertiair!I16</f>
        <v>0</v>
      </c>
      <c r="K10" s="978">
        <f>tertiair!J16</f>
        <v>0</v>
      </c>
      <c r="L10" s="978">
        <f>tertiair!K16</f>
        <v>0</v>
      </c>
      <c r="M10" s="978">
        <f ca="1">tertiair!L16</f>
        <v>0</v>
      </c>
      <c r="N10" s="978">
        <f>tertiair!M16</f>
        <v>0</v>
      </c>
      <c r="O10" s="978">
        <f ca="1">tertiair!N16</f>
        <v>2110.8692266098697</v>
      </c>
      <c r="P10" s="978">
        <f>tertiair!O16</f>
        <v>10.943333333333335</v>
      </c>
      <c r="Q10" s="979">
        <f>tertiair!P16</f>
        <v>19.066666666666666</v>
      </c>
      <c r="R10" s="674">
        <f ca="1">SUM(C10:Q10)</f>
        <v>53732.365468448836</v>
      </c>
      <c r="S10" s="67"/>
    </row>
    <row r="11" spans="1:19" s="447" customFormat="1">
      <c r="A11" s="783" t="s">
        <v>224</v>
      </c>
      <c r="B11" s="788"/>
      <c r="C11" s="978">
        <f>huishoudens!B8</f>
        <v>32134.718828805439</v>
      </c>
      <c r="D11" s="978">
        <f>huishoudens!C8</f>
        <v>0</v>
      </c>
      <c r="E11" s="978">
        <f>huishoudens!D8</f>
        <v>62398.506717426004</v>
      </c>
      <c r="F11" s="978">
        <f>huishoudens!E8</f>
        <v>14409.205447987644</v>
      </c>
      <c r="G11" s="978">
        <f>huishoudens!F8</f>
        <v>34572.166181508328</v>
      </c>
      <c r="H11" s="978">
        <f>huishoudens!G8</f>
        <v>0</v>
      </c>
      <c r="I11" s="978">
        <f>huishoudens!H8</f>
        <v>0</v>
      </c>
      <c r="J11" s="978">
        <f>huishoudens!I8</f>
        <v>0</v>
      </c>
      <c r="K11" s="978">
        <f>huishoudens!J8</f>
        <v>0</v>
      </c>
      <c r="L11" s="978">
        <f>huishoudens!K8</f>
        <v>0</v>
      </c>
      <c r="M11" s="978">
        <f>huishoudens!L8</f>
        <v>0</v>
      </c>
      <c r="N11" s="978">
        <f>huishoudens!M8</f>
        <v>0</v>
      </c>
      <c r="O11" s="978">
        <f>huishoudens!N8</f>
        <v>35275.960053268063</v>
      </c>
      <c r="P11" s="978">
        <f>huishoudens!O8</f>
        <v>420.53666666666663</v>
      </c>
      <c r="Q11" s="979">
        <f>huishoudens!P8</f>
        <v>1696.9333333333334</v>
      </c>
      <c r="R11" s="674">
        <f>SUM(C11:Q11)</f>
        <v>180908.02722899543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15115.338552990001</v>
      </c>
      <c r="D13" s="978">
        <f>industrie!C18</f>
        <v>0</v>
      </c>
      <c r="E13" s="978">
        <f>industrie!D18</f>
        <v>3919.0389090467997</v>
      </c>
      <c r="F13" s="978">
        <f>industrie!E18</f>
        <v>758.124912536377</v>
      </c>
      <c r="G13" s="978">
        <f>industrie!F18</f>
        <v>4426.1299050378439</v>
      </c>
      <c r="H13" s="978">
        <f>industrie!G18</f>
        <v>0</v>
      </c>
      <c r="I13" s="978">
        <f>industrie!H18</f>
        <v>0</v>
      </c>
      <c r="J13" s="978">
        <f>industrie!I18</f>
        <v>0</v>
      </c>
      <c r="K13" s="978">
        <f>industrie!J18</f>
        <v>10.301748251934725</v>
      </c>
      <c r="L13" s="978">
        <f>industrie!K18</f>
        <v>0</v>
      </c>
      <c r="M13" s="978">
        <f>industrie!L18</f>
        <v>0</v>
      </c>
      <c r="N13" s="978">
        <f>industrie!M18</f>
        <v>0</v>
      </c>
      <c r="O13" s="978">
        <f>industrie!N18</f>
        <v>5013.0113116513576</v>
      </c>
      <c r="P13" s="978">
        <f>industrie!O18</f>
        <v>0</v>
      </c>
      <c r="Q13" s="979">
        <f>industrie!P18</f>
        <v>0</v>
      </c>
      <c r="R13" s="674">
        <f>SUM(C13:Q13)</f>
        <v>29241.94533951431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71392.765393775437</v>
      </c>
      <c r="D16" s="706">
        <f t="shared" ref="D16:R16" ca="1" si="0">SUM(D9:D15)</f>
        <v>0</v>
      </c>
      <c r="E16" s="706">
        <f t="shared" ca="1" si="0"/>
        <v>87421.894388922286</v>
      </c>
      <c r="F16" s="706">
        <f t="shared" si="0"/>
        <v>15549.507140444557</v>
      </c>
      <c r="G16" s="706">
        <f t="shared" ca="1" si="0"/>
        <v>44960.548774035124</v>
      </c>
      <c r="H16" s="706">
        <f t="shared" si="0"/>
        <v>0</v>
      </c>
      <c r="I16" s="706">
        <f t="shared" si="0"/>
        <v>0</v>
      </c>
      <c r="J16" s="706">
        <f t="shared" si="0"/>
        <v>0</v>
      </c>
      <c r="K16" s="706">
        <f t="shared" si="0"/>
        <v>10.301748251934725</v>
      </c>
      <c r="L16" s="706">
        <f t="shared" si="0"/>
        <v>0</v>
      </c>
      <c r="M16" s="706">
        <f t="shared" ca="1" si="0"/>
        <v>0</v>
      </c>
      <c r="N16" s="706">
        <f t="shared" si="0"/>
        <v>0</v>
      </c>
      <c r="O16" s="706">
        <f t="shared" ca="1" si="0"/>
        <v>42399.84059152929</v>
      </c>
      <c r="P16" s="706">
        <f t="shared" si="0"/>
        <v>431.47999999999996</v>
      </c>
      <c r="Q16" s="706">
        <f t="shared" si="0"/>
        <v>1716</v>
      </c>
      <c r="R16" s="706">
        <f t="shared" ca="1" si="0"/>
        <v>263882.33803695859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1413.1248864139518</v>
      </c>
      <c r="I19" s="978">
        <f>transport!H54</f>
        <v>0</v>
      </c>
      <c r="J19" s="978">
        <f>transport!I54</f>
        <v>0</v>
      </c>
      <c r="K19" s="978">
        <f>transport!J54</f>
        <v>0</v>
      </c>
      <c r="L19" s="978">
        <f>transport!K54</f>
        <v>0</v>
      </c>
      <c r="M19" s="978">
        <f>transport!L54</f>
        <v>0</v>
      </c>
      <c r="N19" s="978">
        <f>transport!M54</f>
        <v>43.776640533533453</v>
      </c>
      <c r="O19" s="978">
        <f>transport!N54</f>
        <v>0</v>
      </c>
      <c r="P19" s="978">
        <f>transport!O54</f>
        <v>0</v>
      </c>
      <c r="Q19" s="979">
        <f>transport!P54</f>
        <v>0</v>
      </c>
      <c r="R19" s="674">
        <f>SUM(C19:Q19)</f>
        <v>1456.9015269474853</v>
      </c>
      <c r="S19" s="67"/>
    </row>
    <row r="20" spans="1:19" s="447" customFormat="1">
      <c r="A20" s="783" t="s">
        <v>306</v>
      </c>
      <c r="B20" s="788"/>
      <c r="C20" s="978">
        <f>transport!B14</f>
        <v>24.595126796430112</v>
      </c>
      <c r="D20" s="978">
        <f>transport!C14</f>
        <v>0</v>
      </c>
      <c r="E20" s="978">
        <f>transport!D14</f>
        <v>49.574465852773592</v>
      </c>
      <c r="F20" s="978">
        <f>transport!E14</f>
        <v>221.03016786287333</v>
      </c>
      <c r="G20" s="978">
        <f>transport!F14</f>
        <v>0</v>
      </c>
      <c r="H20" s="978">
        <f>transport!G14</f>
        <v>79761.060884904204</v>
      </c>
      <c r="I20" s="978">
        <f>transport!H14</f>
        <v>16898.68629682891</v>
      </c>
      <c r="J20" s="978">
        <f>transport!I14</f>
        <v>0</v>
      </c>
      <c r="K20" s="978">
        <f>transport!J14</f>
        <v>0</v>
      </c>
      <c r="L20" s="978">
        <f>transport!K14</f>
        <v>0</v>
      </c>
      <c r="M20" s="978">
        <f>transport!L14</f>
        <v>0</v>
      </c>
      <c r="N20" s="978">
        <f>transport!M14</f>
        <v>3015.7349575229719</v>
      </c>
      <c r="O20" s="978">
        <f>transport!N14</f>
        <v>0</v>
      </c>
      <c r="P20" s="978">
        <f>transport!O14</f>
        <v>0</v>
      </c>
      <c r="Q20" s="979">
        <f>transport!P14</f>
        <v>0</v>
      </c>
      <c r="R20" s="674">
        <f>SUM(C20:Q20)</f>
        <v>99970.681899768155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24.595126796430112</v>
      </c>
      <c r="D22" s="786">
        <f t="shared" ref="D22:R22" si="1">SUM(D18:D21)</f>
        <v>0</v>
      </c>
      <c r="E22" s="786">
        <f t="shared" si="1"/>
        <v>49.574465852773592</v>
      </c>
      <c r="F22" s="786">
        <f t="shared" si="1"/>
        <v>221.03016786287333</v>
      </c>
      <c r="G22" s="786">
        <f t="shared" si="1"/>
        <v>0</v>
      </c>
      <c r="H22" s="786">
        <f t="shared" si="1"/>
        <v>81174.185771318153</v>
      </c>
      <c r="I22" s="786">
        <f t="shared" si="1"/>
        <v>16898.68629682891</v>
      </c>
      <c r="J22" s="786">
        <f t="shared" si="1"/>
        <v>0</v>
      </c>
      <c r="K22" s="786">
        <f t="shared" si="1"/>
        <v>0</v>
      </c>
      <c r="L22" s="786">
        <f t="shared" si="1"/>
        <v>0</v>
      </c>
      <c r="M22" s="786">
        <f t="shared" si="1"/>
        <v>0</v>
      </c>
      <c r="N22" s="786">
        <f t="shared" si="1"/>
        <v>3059.5115980565051</v>
      </c>
      <c r="O22" s="786">
        <f t="shared" si="1"/>
        <v>0</v>
      </c>
      <c r="P22" s="786">
        <f t="shared" si="1"/>
        <v>0</v>
      </c>
      <c r="Q22" s="786">
        <f t="shared" si="1"/>
        <v>0</v>
      </c>
      <c r="R22" s="786">
        <f t="shared" si="1"/>
        <v>101427.58342671565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4272.3839235599999</v>
      </c>
      <c r="D24" s="978">
        <f>+landbouw!C8</f>
        <v>62.357142857142847</v>
      </c>
      <c r="E24" s="978">
        <f>+landbouw!D8</f>
        <v>89.137549954332002</v>
      </c>
      <c r="F24" s="978">
        <f>+landbouw!E8</f>
        <v>110.16837733089707</v>
      </c>
      <c r="G24" s="978">
        <f>+landbouw!F8</f>
        <v>15616.376876605931</v>
      </c>
      <c r="H24" s="978">
        <f>+landbouw!G8</f>
        <v>0</v>
      </c>
      <c r="I24" s="978">
        <f>+landbouw!H8</f>
        <v>0</v>
      </c>
      <c r="J24" s="978">
        <f>+landbouw!I8</f>
        <v>0</v>
      </c>
      <c r="K24" s="978">
        <f>+landbouw!J8</f>
        <v>615.0661182703551</v>
      </c>
      <c r="L24" s="978">
        <f>+landbouw!K8</f>
        <v>0</v>
      </c>
      <c r="M24" s="978">
        <f>+landbouw!L8</f>
        <v>0</v>
      </c>
      <c r="N24" s="978">
        <f>+landbouw!M8</f>
        <v>0</v>
      </c>
      <c r="O24" s="978">
        <f>+landbouw!N8</f>
        <v>0</v>
      </c>
      <c r="P24" s="978">
        <f>+landbouw!O8</f>
        <v>0</v>
      </c>
      <c r="Q24" s="979">
        <f>+landbouw!P8</f>
        <v>0</v>
      </c>
      <c r="R24" s="674">
        <f>SUM(C24:Q24)</f>
        <v>20765.489988578658</v>
      </c>
      <c r="S24" s="67"/>
    </row>
    <row r="25" spans="1:19" s="447" customFormat="1" ht="15" thickBot="1">
      <c r="A25" s="805" t="s">
        <v>834</v>
      </c>
      <c r="B25" s="981"/>
      <c r="C25" s="982">
        <f>IF(Onbekend_ele_kWh="---",0,Onbekend_ele_kWh)/1000+IF(REST_rest_ele_kWh="---",0,REST_rest_ele_kWh)/1000</f>
        <v>1096.6099169000001</v>
      </c>
      <c r="D25" s="982"/>
      <c r="E25" s="982">
        <f>IF(onbekend_gas_kWh="---",0,onbekend_gas_kWh)/1000+IF(REST_rest_gas_kWh="---",0,REST_rest_gas_kWh)/1000</f>
        <v>3442.4208875000004</v>
      </c>
      <c r="F25" s="982"/>
      <c r="G25" s="982"/>
      <c r="H25" s="982"/>
      <c r="I25" s="982"/>
      <c r="J25" s="982"/>
      <c r="K25" s="982"/>
      <c r="L25" s="982"/>
      <c r="M25" s="982"/>
      <c r="N25" s="982"/>
      <c r="O25" s="982"/>
      <c r="P25" s="982"/>
      <c r="Q25" s="983"/>
      <c r="R25" s="674">
        <f>SUM(C25:Q25)</f>
        <v>4539.0308044000003</v>
      </c>
      <c r="S25" s="67"/>
    </row>
    <row r="26" spans="1:19" s="447" customFormat="1" ht="15.75" thickBot="1">
      <c r="A26" s="679" t="s">
        <v>835</v>
      </c>
      <c r="B26" s="791"/>
      <c r="C26" s="786">
        <f>SUM(C24:C25)</f>
        <v>5368.9938404599998</v>
      </c>
      <c r="D26" s="786">
        <f t="shared" ref="D26:R26" si="2">SUM(D24:D25)</f>
        <v>62.357142857142847</v>
      </c>
      <c r="E26" s="786">
        <f t="shared" si="2"/>
        <v>3531.5584374543323</v>
      </c>
      <c r="F26" s="786">
        <f t="shared" si="2"/>
        <v>110.16837733089707</v>
      </c>
      <c r="G26" s="786">
        <f t="shared" si="2"/>
        <v>15616.376876605931</v>
      </c>
      <c r="H26" s="786">
        <f t="shared" si="2"/>
        <v>0</v>
      </c>
      <c r="I26" s="786">
        <f t="shared" si="2"/>
        <v>0</v>
      </c>
      <c r="J26" s="786">
        <f t="shared" si="2"/>
        <v>0</v>
      </c>
      <c r="K26" s="786">
        <f t="shared" si="2"/>
        <v>615.0661182703551</v>
      </c>
      <c r="L26" s="786">
        <f t="shared" si="2"/>
        <v>0</v>
      </c>
      <c r="M26" s="786">
        <f t="shared" si="2"/>
        <v>0</v>
      </c>
      <c r="N26" s="786">
        <f t="shared" si="2"/>
        <v>0</v>
      </c>
      <c r="O26" s="786">
        <f t="shared" si="2"/>
        <v>0</v>
      </c>
      <c r="P26" s="786">
        <f t="shared" si="2"/>
        <v>0</v>
      </c>
      <c r="Q26" s="786">
        <f t="shared" si="2"/>
        <v>0</v>
      </c>
      <c r="R26" s="786">
        <f t="shared" si="2"/>
        <v>25304.520792978659</v>
      </c>
      <c r="S26" s="67"/>
    </row>
    <row r="27" spans="1:19" s="447" customFormat="1" ht="17.25" thickTop="1" thickBot="1">
      <c r="A27" s="680" t="s">
        <v>115</v>
      </c>
      <c r="B27" s="779"/>
      <c r="C27" s="681">
        <f ca="1">C22+C16+C26</f>
        <v>76786.354361031859</v>
      </c>
      <c r="D27" s="681">
        <f t="shared" ref="D27:R27" ca="1" si="3">D22+D16+D26</f>
        <v>62.357142857142847</v>
      </c>
      <c r="E27" s="681">
        <f t="shared" ca="1" si="3"/>
        <v>91003.027292229381</v>
      </c>
      <c r="F27" s="681">
        <f t="shared" si="3"/>
        <v>15880.705685638328</v>
      </c>
      <c r="G27" s="681">
        <f t="shared" ca="1" si="3"/>
        <v>60576.925650641053</v>
      </c>
      <c r="H27" s="681">
        <f t="shared" si="3"/>
        <v>81174.185771318153</v>
      </c>
      <c r="I27" s="681">
        <f t="shared" si="3"/>
        <v>16898.68629682891</v>
      </c>
      <c r="J27" s="681">
        <f t="shared" si="3"/>
        <v>0</v>
      </c>
      <c r="K27" s="681">
        <f t="shared" si="3"/>
        <v>625.36786652228989</v>
      </c>
      <c r="L27" s="681">
        <f t="shared" si="3"/>
        <v>0</v>
      </c>
      <c r="M27" s="681">
        <f t="shared" ca="1" si="3"/>
        <v>0</v>
      </c>
      <c r="N27" s="681">
        <f t="shared" si="3"/>
        <v>3059.5115980565051</v>
      </c>
      <c r="O27" s="681">
        <f t="shared" ca="1" si="3"/>
        <v>42399.84059152929</v>
      </c>
      <c r="P27" s="681">
        <f t="shared" si="3"/>
        <v>431.47999999999996</v>
      </c>
      <c r="Q27" s="681">
        <f t="shared" si="3"/>
        <v>1716</v>
      </c>
      <c r="R27" s="681">
        <f t="shared" ca="1" si="3"/>
        <v>390614.44225665287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4650.8302952041968</v>
      </c>
      <c r="D40" s="978">
        <f ca="1">tertiair!C20</f>
        <v>0</v>
      </c>
      <c r="E40" s="978">
        <f ca="1">tertiair!D20</f>
        <v>4263.0784500147956</v>
      </c>
      <c r="F40" s="978">
        <f>tertiair!E20</f>
        <v>86.754129041961633</v>
      </c>
      <c r="G40" s="978">
        <f ca="1">tertiair!F20</f>
        <v>1591.9214675595495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10592.584341820504</v>
      </c>
    </row>
    <row r="41" spans="1:18">
      <c r="A41" s="796" t="s">
        <v>224</v>
      </c>
      <c r="B41" s="803"/>
      <c r="C41" s="978">
        <f ca="1">huishoudens!B12</f>
        <v>6190.4043151545402</v>
      </c>
      <c r="D41" s="978">
        <f ca="1">huishoudens!C12</f>
        <v>0</v>
      </c>
      <c r="E41" s="978">
        <f>huishoudens!D12</f>
        <v>12604.498356920054</v>
      </c>
      <c r="F41" s="978">
        <f>huishoudens!E12</f>
        <v>3270.8896366931954</v>
      </c>
      <c r="G41" s="978">
        <f>huishoudens!F12</f>
        <v>9230.7683704627234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31296.560679230512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2911.8056859914159</v>
      </c>
      <c r="D43" s="978">
        <f ca="1">industrie!C22</f>
        <v>0</v>
      </c>
      <c r="E43" s="978">
        <f>industrie!D22</f>
        <v>791.64585962745355</v>
      </c>
      <c r="F43" s="978">
        <f>industrie!E22</f>
        <v>172.09435514575759</v>
      </c>
      <c r="G43" s="978">
        <f>industrie!F22</f>
        <v>1181.7766846451043</v>
      </c>
      <c r="H43" s="978">
        <f>industrie!G22</f>
        <v>0</v>
      </c>
      <c r="I43" s="978">
        <f>industrie!H22</f>
        <v>0</v>
      </c>
      <c r="J43" s="978">
        <f>industrie!I22</f>
        <v>0</v>
      </c>
      <c r="K43" s="978">
        <f>industrie!J22</f>
        <v>3.6468188811848927</v>
      </c>
      <c r="L43" s="978">
        <f>industrie!K22</f>
        <v>0</v>
      </c>
      <c r="M43" s="978">
        <f>industrie!L22</f>
        <v>0</v>
      </c>
      <c r="N43" s="978">
        <f>industrie!M22</f>
        <v>0</v>
      </c>
      <c r="O43" s="978">
        <f>industrie!N22</f>
        <v>0</v>
      </c>
      <c r="P43" s="978">
        <f>industrie!O22</f>
        <v>0</v>
      </c>
      <c r="Q43" s="748">
        <f>industrie!P22</f>
        <v>0</v>
      </c>
      <c r="R43" s="823">
        <f t="shared" ca="1" si="4"/>
        <v>5060.9694042909159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13753.040296350153</v>
      </c>
      <c r="D46" s="706">
        <f t="shared" ref="D46:Q46" ca="1" si="5">SUM(D39:D45)</f>
        <v>0</v>
      </c>
      <c r="E46" s="706">
        <f t="shared" ca="1" si="5"/>
        <v>17659.222666562302</v>
      </c>
      <c r="F46" s="706">
        <f t="shared" si="5"/>
        <v>3529.7381208809147</v>
      </c>
      <c r="G46" s="706">
        <f t="shared" ca="1" si="5"/>
        <v>12004.466522667379</v>
      </c>
      <c r="H46" s="706">
        <f t="shared" si="5"/>
        <v>0</v>
      </c>
      <c r="I46" s="706">
        <f t="shared" si="5"/>
        <v>0</v>
      </c>
      <c r="J46" s="706">
        <f t="shared" si="5"/>
        <v>0</v>
      </c>
      <c r="K46" s="706">
        <f t="shared" si="5"/>
        <v>3.6468188811848927</v>
      </c>
      <c r="L46" s="706">
        <f t="shared" si="5"/>
        <v>0</v>
      </c>
      <c r="M46" s="706">
        <f t="shared" ca="1" si="5"/>
        <v>0</v>
      </c>
      <c r="N46" s="706">
        <f t="shared" si="5"/>
        <v>0</v>
      </c>
      <c r="O46" s="706">
        <f t="shared" ca="1" si="5"/>
        <v>0</v>
      </c>
      <c r="P46" s="706">
        <f t="shared" si="5"/>
        <v>0</v>
      </c>
      <c r="Q46" s="706">
        <f t="shared" si="5"/>
        <v>0</v>
      </c>
      <c r="R46" s="706">
        <f ca="1">SUM(R39:R45)</f>
        <v>46950.114425341933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377.30434467252513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377.30434467252513</v>
      </c>
    </row>
    <row r="50" spans="1:18">
      <c r="A50" s="799" t="s">
        <v>306</v>
      </c>
      <c r="B50" s="809"/>
      <c r="C50" s="677">
        <f ca="1">transport!B18</f>
        <v>4.737983856759759</v>
      </c>
      <c r="D50" s="677">
        <f>transport!C18</f>
        <v>0</v>
      </c>
      <c r="E50" s="677">
        <f>transport!D18</f>
        <v>10.014042102260266</v>
      </c>
      <c r="F50" s="677">
        <f>transport!E18</f>
        <v>50.173848104872249</v>
      </c>
      <c r="G50" s="677">
        <f>transport!F18</f>
        <v>0</v>
      </c>
      <c r="H50" s="677">
        <f>transport!G18</f>
        <v>21296.203256269422</v>
      </c>
      <c r="I50" s="677">
        <f>transport!H18</f>
        <v>4207.7728879103988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25568.902018243713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4.737983856759759</v>
      </c>
      <c r="D52" s="706">
        <f t="shared" ref="D52:Q52" ca="1" si="6">SUM(D48:D51)</f>
        <v>0</v>
      </c>
      <c r="E52" s="706">
        <f t="shared" si="6"/>
        <v>10.014042102260266</v>
      </c>
      <c r="F52" s="706">
        <f t="shared" si="6"/>
        <v>50.173848104872249</v>
      </c>
      <c r="G52" s="706">
        <f t="shared" si="6"/>
        <v>0</v>
      </c>
      <c r="H52" s="706">
        <f t="shared" si="6"/>
        <v>21673.507600941946</v>
      </c>
      <c r="I52" s="706">
        <f t="shared" si="6"/>
        <v>4207.7728879103988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25946.206362916237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823.02832700359636</v>
      </c>
      <c r="D54" s="677">
        <f ca="1">+landbouw!C12</f>
        <v>0</v>
      </c>
      <c r="E54" s="677">
        <f>+landbouw!D12</f>
        <v>18.005785090775067</v>
      </c>
      <c r="F54" s="677">
        <f>+landbouw!E12</f>
        <v>25.008221654113637</v>
      </c>
      <c r="G54" s="677">
        <f>+landbouw!F12</f>
        <v>4169.572626053784</v>
      </c>
      <c r="H54" s="677">
        <f>+landbouw!G12</f>
        <v>0</v>
      </c>
      <c r="I54" s="677">
        <f>+landbouw!H12</f>
        <v>0</v>
      </c>
      <c r="J54" s="677">
        <f>+landbouw!I12</f>
        <v>0</v>
      </c>
      <c r="K54" s="677">
        <f>+landbouw!J12</f>
        <v>217.7334058677057</v>
      </c>
      <c r="L54" s="677">
        <f>+landbouw!K12</f>
        <v>0</v>
      </c>
      <c r="M54" s="677">
        <f>+landbouw!L12</f>
        <v>0</v>
      </c>
      <c r="N54" s="677">
        <f>+landbouw!M12</f>
        <v>0</v>
      </c>
      <c r="O54" s="677">
        <f>+landbouw!N12</f>
        <v>0</v>
      </c>
      <c r="P54" s="677">
        <f>+landbouw!O12</f>
        <v>0</v>
      </c>
      <c r="Q54" s="678">
        <f>+landbouw!P12</f>
        <v>0</v>
      </c>
      <c r="R54" s="705">
        <f ca="1">SUM(C54:Q54)</f>
        <v>5253.3483656699755</v>
      </c>
    </row>
    <row r="55" spans="1:18" ht="15" thickBot="1">
      <c r="A55" s="799" t="s">
        <v>834</v>
      </c>
      <c r="B55" s="809"/>
      <c r="C55" s="677">
        <f ca="1">C25*'EF ele_warmte'!B12</f>
        <v>211.24998160973092</v>
      </c>
      <c r="D55" s="677"/>
      <c r="E55" s="677">
        <f>E25*EF_CO2_aardgas</f>
        <v>695.36901927500014</v>
      </c>
      <c r="F55" s="677"/>
      <c r="G55" s="677"/>
      <c r="H55" s="677"/>
      <c r="I55" s="677"/>
      <c r="J55" s="677"/>
      <c r="K55" s="677"/>
      <c r="L55" s="677"/>
      <c r="M55" s="677"/>
      <c r="N55" s="677"/>
      <c r="O55" s="677"/>
      <c r="P55" s="677"/>
      <c r="Q55" s="678"/>
      <c r="R55" s="705">
        <f ca="1">SUM(C55:Q55)</f>
        <v>906.61900088473112</v>
      </c>
    </row>
    <row r="56" spans="1:18" ht="15.75" thickBot="1">
      <c r="A56" s="797" t="s">
        <v>835</v>
      </c>
      <c r="B56" s="810"/>
      <c r="C56" s="706">
        <f ca="1">SUM(C54:C55)</f>
        <v>1034.2783086133272</v>
      </c>
      <c r="D56" s="706">
        <f t="shared" ref="D56:Q56" ca="1" si="7">SUM(D54:D55)</f>
        <v>0</v>
      </c>
      <c r="E56" s="706">
        <f t="shared" si="7"/>
        <v>713.37480436577516</v>
      </c>
      <c r="F56" s="706">
        <f t="shared" si="7"/>
        <v>25.008221654113637</v>
      </c>
      <c r="G56" s="706">
        <f t="shared" si="7"/>
        <v>4169.572626053784</v>
      </c>
      <c r="H56" s="706">
        <f t="shared" si="7"/>
        <v>0</v>
      </c>
      <c r="I56" s="706">
        <f t="shared" si="7"/>
        <v>0</v>
      </c>
      <c r="J56" s="706">
        <f t="shared" si="7"/>
        <v>0</v>
      </c>
      <c r="K56" s="706">
        <f t="shared" si="7"/>
        <v>217.7334058677057</v>
      </c>
      <c r="L56" s="706">
        <f t="shared" si="7"/>
        <v>0</v>
      </c>
      <c r="M56" s="706">
        <f t="shared" si="7"/>
        <v>0</v>
      </c>
      <c r="N56" s="706">
        <f t="shared" si="7"/>
        <v>0</v>
      </c>
      <c r="O56" s="706">
        <f t="shared" si="7"/>
        <v>0</v>
      </c>
      <c r="P56" s="706">
        <f t="shared" si="7"/>
        <v>0</v>
      </c>
      <c r="Q56" s="707">
        <f t="shared" si="7"/>
        <v>0</v>
      </c>
      <c r="R56" s="708">
        <f ca="1">SUM(R54:R55)</f>
        <v>6159.967366554707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14792.05658882024</v>
      </c>
      <c r="D61" s="714">
        <f t="shared" ref="D61:Q61" ca="1" si="8">D46+D52+D56</f>
        <v>0</v>
      </c>
      <c r="E61" s="714">
        <f t="shared" ca="1" si="8"/>
        <v>18382.611513030337</v>
      </c>
      <c r="F61" s="714">
        <f t="shared" si="8"/>
        <v>3604.9201906399007</v>
      </c>
      <c r="G61" s="714">
        <f t="shared" ca="1" si="8"/>
        <v>16174.039148721164</v>
      </c>
      <c r="H61" s="714">
        <f t="shared" si="8"/>
        <v>21673.507600941946</v>
      </c>
      <c r="I61" s="714">
        <f t="shared" si="8"/>
        <v>4207.7728879103988</v>
      </c>
      <c r="J61" s="714">
        <f t="shared" si="8"/>
        <v>0</v>
      </c>
      <c r="K61" s="714">
        <f t="shared" si="8"/>
        <v>221.38022474889058</v>
      </c>
      <c r="L61" s="714">
        <f t="shared" si="8"/>
        <v>0</v>
      </c>
      <c r="M61" s="714">
        <f t="shared" ca="1" si="8"/>
        <v>0</v>
      </c>
      <c r="N61" s="714">
        <f t="shared" si="8"/>
        <v>0</v>
      </c>
      <c r="O61" s="714">
        <f t="shared" ca="1" si="8"/>
        <v>0</v>
      </c>
      <c r="P61" s="714">
        <f t="shared" si="8"/>
        <v>0</v>
      </c>
      <c r="Q61" s="714">
        <f t="shared" si="8"/>
        <v>0</v>
      </c>
      <c r="R61" s="714">
        <f ca="1">R46+R52+R56</f>
        <v>79056.288154812864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0.19263913115696801</v>
      </c>
      <c r="D63" s="755">
        <f t="shared" ca="1" si="9"/>
        <v>0</v>
      </c>
      <c r="E63" s="989">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1164.1418547147327</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7305.1797514744239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1341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3831.4285714285716</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9853.9716061891559</v>
      </c>
      <c r="C78" s="729">
        <f>SUM(C72:C77)</f>
        <v>0</v>
      </c>
      <c r="D78" s="730">
        <f t="shared" ref="D78:H78" si="10">SUM(D76:D77)</f>
        <v>0</v>
      </c>
      <c r="E78" s="730">
        <f t="shared" si="10"/>
        <v>0</v>
      </c>
      <c r="F78" s="730">
        <f t="shared" si="10"/>
        <v>0</v>
      </c>
      <c r="G78" s="730">
        <f t="shared" si="10"/>
        <v>0</v>
      </c>
      <c r="H78" s="730">
        <f t="shared" si="10"/>
        <v>0</v>
      </c>
      <c r="I78" s="730">
        <f>SUM(I76:I77)</f>
        <v>0</v>
      </c>
      <c r="J78" s="730">
        <f>SUM(J76:J77)</f>
        <v>3882.7815126050423</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1164.1418547147327</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7305.1797514744239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1341</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9853.9716061891559</v>
      </c>
      <c r="C10" s="557">
        <f t="shared" ref="C10:L10" si="0">SUM(C8:C9)</f>
        <v>0</v>
      </c>
      <c r="D10" s="557">
        <f t="shared" si="0"/>
        <v>0</v>
      </c>
      <c r="E10" s="557">
        <f t="shared" si="0"/>
        <v>0</v>
      </c>
      <c r="F10" s="557">
        <f t="shared" si="0"/>
        <v>0</v>
      </c>
      <c r="G10" s="557">
        <f t="shared" si="0"/>
        <v>0</v>
      </c>
      <c r="H10" s="557">
        <f t="shared" si="0"/>
        <v>0</v>
      </c>
      <c r="I10" s="557">
        <f t="shared" si="0"/>
        <v>0</v>
      </c>
      <c r="J10" s="557">
        <f t="shared" si="0"/>
        <v>3882.7815126050423</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13017</v>
      </c>
      <c r="C28" s="770">
        <v>2460</v>
      </c>
      <c r="D28" s="627" t="s">
        <v>896</v>
      </c>
      <c r="E28" s="626" t="s">
        <v>897</v>
      </c>
      <c r="F28" s="626" t="s">
        <v>898</v>
      </c>
      <c r="G28" s="626" t="s">
        <v>899</v>
      </c>
      <c r="H28" s="626" t="s">
        <v>900</v>
      </c>
      <c r="I28" s="626" t="s">
        <v>897</v>
      </c>
      <c r="J28" s="769">
        <v>41586</v>
      </c>
      <c r="K28" s="769">
        <v>41586</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13017</v>
      </c>
      <c r="C35" s="770">
        <v>2460</v>
      </c>
      <c r="D35" s="629" t="s">
        <v>902</v>
      </c>
      <c r="E35" s="629" t="s">
        <v>903</v>
      </c>
      <c r="F35" s="629" t="s">
        <v>904</v>
      </c>
      <c r="G35" s="629" t="s">
        <v>905</v>
      </c>
      <c r="H35" s="629" t="s">
        <v>906</v>
      </c>
      <c r="I35" s="629" t="s">
        <v>907</v>
      </c>
      <c r="J35" s="769">
        <v>38768</v>
      </c>
      <c r="K35" s="769">
        <v>39052</v>
      </c>
      <c r="L35" s="629" t="s">
        <v>908</v>
      </c>
      <c r="M35" s="629">
        <v>298</v>
      </c>
      <c r="N35" s="629">
        <v>1341</v>
      </c>
      <c r="O35" s="629">
        <v>0</v>
      </c>
      <c r="P35" s="629">
        <v>0</v>
      </c>
      <c r="Q35" s="629">
        <v>3831.4285714285716</v>
      </c>
      <c r="R35" s="629">
        <v>0</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298</v>
      </c>
      <c r="N36" s="584">
        <f>SUM(N35:N35)</f>
        <v>1341</v>
      </c>
      <c r="O36" s="584">
        <f>SUM(O35:O35)</f>
        <v>0</v>
      </c>
      <c r="P36" s="584">
        <f>SUM(P35:P35)</f>
        <v>0</v>
      </c>
      <c r="Q36" s="584">
        <f>SUM(Q35:Q35)</f>
        <v>3831.4285714285716</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298</v>
      </c>
      <c r="N38" s="584">
        <f>SUMIF($Z$35:$Z$36,"tertiair",N35:N36)</f>
        <v>1341</v>
      </c>
      <c r="O38" s="584">
        <f>SUMIF($Z$35:$Z$36,"tertiair",O35:O36)</f>
        <v>0</v>
      </c>
      <c r="P38" s="584">
        <f>SUMIF($Z$35:$Z$36,"tertiair",P35:P36)</f>
        <v>0</v>
      </c>
      <c r="Q38" s="584">
        <f>SUMIF($Z$35:$Z$36,"tertiair",Q35:Q36)</f>
        <v>3831.4285714285716</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32134.718828805439</v>
      </c>
      <c r="C4" s="451">
        <f>huishoudens!C8</f>
        <v>0</v>
      </c>
      <c r="D4" s="451">
        <f>huishoudens!D8</f>
        <v>62398.506717426004</v>
      </c>
      <c r="E4" s="451">
        <f>huishoudens!E8</f>
        <v>14409.205447987644</v>
      </c>
      <c r="F4" s="451">
        <f>huishoudens!F8</f>
        <v>34572.166181508328</v>
      </c>
      <c r="G4" s="451">
        <f>huishoudens!G8</f>
        <v>0</v>
      </c>
      <c r="H4" s="451">
        <f>huishoudens!H8</f>
        <v>0</v>
      </c>
      <c r="I4" s="451">
        <f>huishoudens!I8</f>
        <v>0</v>
      </c>
      <c r="J4" s="451">
        <f>huishoudens!J8</f>
        <v>0</v>
      </c>
      <c r="K4" s="451">
        <f>huishoudens!K8</f>
        <v>0</v>
      </c>
      <c r="L4" s="451">
        <f>huishoudens!L8</f>
        <v>0</v>
      </c>
      <c r="M4" s="451">
        <f>huishoudens!M8</f>
        <v>0</v>
      </c>
      <c r="N4" s="451">
        <f>huishoudens!N8</f>
        <v>35275.960053268063</v>
      </c>
      <c r="O4" s="451">
        <f>huishoudens!O8</f>
        <v>420.53666666666663</v>
      </c>
      <c r="P4" s="452">
        <f>huishoudens!P8</f>
        <v>1696.9333333333334</v>
      </c>
      <c r="Q4" s="453">
        <f>SUM(B4:P4)</f>
        <v>180908.02722899543</v>
      </c>
    </row>
    <row r="5" spans="1:17">
      <c r="A5" s="450" t="s">
        <v>155</v>
      </c>
      <c r="B5" s="451">
        <f ca="1">tertiair!B16</f>
        <v>23341.403011979997</v>
      </c>
      <c r="C5" s="451">
        <f ca="1">tertiair!C16</f>
        <v>0</v>
      </c>
      <c r="D5" s="451">
        <f ca="1">tertiair!D16</f>
        <v>21104.348762449481</v>
      </c>
      <c r="E5" s="451">
        <f>tertiair!E16</f>
        <v>382.17677992053581</v>
      </c>
      <c r="F5" s="451">
        <f ca="1">tertiair!F16</f>
        <v>5962.2526874889491</v>
      </c>
      <c r="G5" s="451">
        <f>tertiair!G16</f>
        <v>0</v>
      </c>
      <c r="H5" s="451">
        <f>tertiair!H16</f>
        <v>0</v>
      </c>
      <c r="I5" s="451">
        <f>tertiair!I16</f>
        <v>0</v>
      </c>
      <c r="J5" s="451">
        <f>tertiair!J16</f>
        <v>0</v>
      </c>
      <c r="K5" s="451">
        <f>tertiair!K16</f>
        <v>0</v>
      </c>
      <c r="L5" s="451">
        <f ca="1">tertiair!L16</f>
        <v>0</v>
      </c>
      <c r="M5" s="451">
        <f>tertiair!M16</f>
        <v>0</v>
      </c>
      <c r="N5" s="451">
        <f ca="1">tertiair!N16</f>
        <v>2110.8692266098697</v>
      </c>
      <c r="O5" s="451">
        <f>tertiair!O16</f>
        <v>10.943333333333335</v>
      </c>
      <c r="P5" s="452">
        <f>tertiair!P16</f>
        <v>19.066666666666666</v>
      </c>
      <c r="Q5" s="450">
        <f t="shared" ref="Q5:Q14" ca="1" si="0">SUM(B5:P5)</f>
        <v>52931.060468448828</v>
      </c>
    </row>
    <row r="6" spans="1:17">
      <c r="A6" s="450" t="s">
        <v>193</v>
      </c>
      <c r="B6" s="451">
        <f>'openbare verlichting'!B8</f>
        <v>801.30499999999995</v>
      </c>
      <c r="C6" s="451"/>
      <c r="D6" s="451"/>
      <c r="E6" s="451"/>
      <c r="F6" s="451"/>
      <c r="G6" s="451"/>
      <c r="H6" s="451"/>
      <c r="I6" s="451"/>
      <c r="J6" s="451"/>
      <c r="K6" s="451"/>
      <c r="L6" s="451"/>
      <c r="M6" s="451"/>
      <c r="N6" s="451"/>
      <c r="O6" s="451"/>
      <c r="P6" s="452"/>
      <c r="Q6" s="450">
        <f t="shared" si="0"/>
        <v>801.30499999999995</v>
      </c>
    </row>
    <row r="7" spans="1:17">
      <c r="A7" s="450" t="s">
        <v>111</v>
      </c>
      <c r="B7" s="451">
        <f>landbouw!B8</f>
        <v>4272.3839235599999</v>
      </c>
      <c r="C7" s="451">
        <f>landbouw!C8</f>
        <v>62.357142857142847</v>
      </c>
      <c r="D7" s="451">
        <f>landbouw!D8</f>
        <v>89.137549954332002</v>
      </c>
      <c r="E7" s="451">
        <f>landbouw!E8</f>
        <v>110.16837733089707</v>
      </c>
      <c r="F7" s="451">
        <f>landbouw!F8</f>
        <v>15616.376876605931</v>
      </c>
      <c r="G7" s="451">
        <f>landbouw!G8</f>
        <v>0</v>
      </c>
      <c r="H7" s="451">
        <f>landbouw!H8</f>
        <v>0</v>
      </c>
      <c r="I7" s="451">
        <f>landbouw!I8</f>
        <v>0</v>
      </c>
      <c r="J7" s="451">
        <f>landbouw!J8</f>
        <v>615.0661182703551</v>
      </c>
      <c r="K7" s="451">
        <f>landbouw!K8</f>
        <v>0</v>
      </c>
      <c r="L7" s="451">
        <f>landbouw!L8</f>
        <v>0</v>
      </c>
      <c r="M7" s="451">
        <f>landbouw!M8</f>
        <v>0</v>
      </c>
      <c r="N7" s="451">
        <f>landbouw!N8</f>
        <v>0</v>
      </c>
      <c r="O7" s="451">
        <f>landbouw!O8</f>
        <v>0</v>
      </c>
      <c r="P7" s="452">
        <f>landbouw!P8</f>
        <v>0</v>
      </c>
      <c r="Q7" s="450">
        <f t="shared" si="0"/>
        <v>20765.489988578658</v>
      </c>
    </row>
    <row r="8" spans="1:17">
      <c r="A8" s="450" t="s">
        <v>637</v>
      </c>
      <c r="B8" s="451">
        <f>industrie!B18</f>
        <v>15115.338552990001</v>
      </c>
      <c r="C8" s="451">
        <f>industrie!C18</f>
        <v>0</v>
      </c>
      <c r="D8" s="451">
        <f>industrie!D18</f>
        <v>3919.0389090467997</v>
      </c>
      <c r="E8" s="451">
        <f>industrie!E18</f>
        <v>758.124912536377</v>
      </c>
      <c r="F8" s="451">
        <f>industrie!F18</f>
        <v>4426.1299050378439</v>
      </c>
      <c r="G8" s="451">
        <f>industrie!G18</f>
        <v>0</v>
      </c>
      <c r="H8" s="451">
        <f>industrie!H18</f>
        <v>0</v>
      </c>
      <c r="I8" s="451">
        <f>industrie!I18</f>
        <v>0</v>
      </c>
      <c r="J8" s="451">
        <f>industrie!J18</f>
        <v>10.301748251934725</v>
      </c>
      <c r="K8" s="451">
        <f>industrie!K18</f>
        <v>0</v>
      </c>
      <c r="L8" s="451">
        <f>industrie!L18</f>
        <v>0</v>
      </c>
      <c r="M8" s="451">
        <f>industrie!M18</f>
        <v>0</v>
      </c>
      <c r="N8" s="451">
        <f>industrie!N18</f>
        <v>5013.0113116513576</v>
      </c>
      <c r="O8" s="451">
        <f>industrie!O18</f>
        <v>0</v>
      </c>
      <c r="P8" s="452">
        <f>industrie!P18</f>
        <v>0</v>
      </c>
      <c r="Q8" s="450">
        <f t="shared" si="0"/>
        <v>29241.94533951431</v>
      </c>
    </row>
    <row r="9" spans="1:17" s="456" customFormat="1">
      <c r="A9" s="454" t="s">
        <v>563</v>
      </c>
      <c r="B9" s="455">
        <f>transport!B14</f>
        <v>24.595126796430112</v>
      </c>
      <c r="C9" s="455">
        <f>transport!C14</f>
        <v>0</v>
      </c>
      <c r="D9" s="455">
        <f>transport!D14</f>
        <v>49.574465852773592</v>
      </c>
      <c r="E9" s="455">
        <f>transport!E14</f>
        <v>221.03016786287333</v>
      </c>
      <c r="F9" s="455">
        <f>transport!F14</f>
        <v>0</v>
      </c>
      <c r="G9" s="455">
        <f>transport!G14</f>
        <v>79761.060884904204</v>
      </c>
      <c r="H9" s="455">
        <f>transport!H14</f>
        <v>16898.68629682891</v>
      </c>
      <c r="I9" s="455">
        <f>transport!I14</f>
        <v>0</v>
      </c>
      <c r="J9" s="455">
        <f>transport!J14</f>
        <v>0</v>
      </c>
      <c r="K9" s="455">
        <f>transport!K14</f>
        <v>0</v>
      </c>
      <c r="L9" s="455">
        <f>transport!L14</f>
        <v>0</v>
      </c>
      <c r="M9" s="455">
        <f>transport!M14</f>
        <v>3015.7349575229719</v>
      </c>
      <c r="N9" s="455">
        <f>transport!N14</f>
        <v>0</v>
      </c>
      <c r="O9" s="455">
        <f>transport!O14</f>
        <v>0</v>
      </c>
      <c r="P9" s="455">
        <f>transport!P14</f>
        <v>0</v>
      </c>
      <c r="Q9" s="454">
        <f>SUM(B9:P9)</f>
        <v>99970.681899768155</v>
      </c>
    </row>
    <row r="10" spans="1:17">
      <c r="A10" s="450" t="s">
        <v>553</v>
      </c>
      <c r="B10" s="451">
        <f>transport!B54</f>
        <v>0</v>
      </c>
      <c r="C10" s="451">
        <f>transport!C54</f>
        <v>0</v>
      </c>
      <c r="D10" s="451">
        <f>transport!D54</f>
        <v>0</v>
      </c>
      <c r="E10" s="451">
        <f>transport!E54</f>
        <v>0</v>
      </c>
      <c r="F10" s="451">
        <f>transport!F54</f>
        <v>0</v>
      </c>
      <c r="G10" s="451">
        <f>transport!G54</f>
        <v>1413.1248864139518</v>
      </c>
      <c r="H10" s="451">
        <f>transport!H54</f>
        <v>0</v>
      </c>
      <c r="I10" s="451">
        <f>transport!I54</f>
        <v>0</v>
      </c>
      <c r="J10" s="451">
        <f>transport!J54</f>
        <v>0</v>
      </c>
      <c r="K10" s="451">
        <f>transport!K54</f>
        <v>0</v>
      </c>
      <c r="L10" s="451">
        <f>transport!L54</f>
        <v>0</v>
      </c>
      <c r="M10" s="451">
        <f>transport!M54</f>
        <v>43.776640533533453</v>
      </c>
      <c r="N10" s="451">
        <f>transport!N54</f>
        <v>0</v>
      </c>
      <c r="O10" s="451">
        <f>transport!O54</f>
        <v>0</v>
      </c>
      <c r="P10" s="452">
        <f>transport!P54</f>
        <v>0</v>
      </c>
      <c r="Q10" s="450">
        <f t="shared" si="0"/>
        <v>1456.9015269474853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1096.6099169000001</v>
      </c>
      <c r="C14" s="458"/>
      <c r="D14" s="458">
        <f>'SEAP template'!E25</f>
        <v>3442.4208875000004</v>
      </c>
      <c r="E14" s="458"/>
      <c r="F14" s="458"/>
      <c r="G14" s="458"/>
      <c r="H14" s="458"/>
      <c r="I14" s="458"/>
      <c r="J14" s="458"/>
      <c r="K14" s="458"/>
      <c r="L14" s="458"/>
      <c r="M14" s="458"/>
      <c r="N14" s="458"/>
      <c r="O14" s="458"/>
      <c r="P14" s="459"/>
      <c r="Q14" s="450">
        <f t="shared" si="0"/>
        <v>4539.0308044000003</v>
      </c>
    </row>
    <row r="15" spans="1:17" s="460" customFormat="1">
      <c r="A15" s="1004" t="s">
        <v>557</v>
      </c>
      <c r="B15" s="944">
        <f ca="1">SUM(B4:B14)</f>
        <v>76786.354361031859</v>
      </c>
      <c r="C15" s="944">
        <f t="shared" ref="C15:Q15" ca="1" si="1">SUM(C4:C14)</f>
        <v>62.357142857142847</v>
      </c>
      <c r="D15" s="944">
        <f t="shared" ca="1" si="1"/>
        <v>91003.027292229395</v>
      </c>
      <c r="E15" s="944">
        <f t="shared" si="1"/>
        <v>15880.705685638328</v>
      </c>
      <c r="F15" s="944">
        <f t="shared" ca="1" si="1"/>
        <v>60576.925650641053</v>
      </c>
      <c r="G15" s="944">
        <f t="shared" si="1"/>
        <v>81174.185771318153</v>
      </c>
      <c r="H15" s="944">
        <f t="shared" si="1"/>
        <v>16898.68629682891</v>
      </c>
      <c r="I15" s="944">
        <f t="shared" si="1"/>
        <v>0</v>
      </c>
      <c r="J15" s="944">
        <f t="shared" si="1"/>
        <v>625.36786652228989</v>
      </c>
      <c r="K15" s="944">
        <f t="shared" si="1"/>
        <v>0</v>
      </c>
      <c r="L15" s="944">
        <f t="shared" ca="1" si="1"/>
        <v>0</v>
      </c>
      <c r="M15" s="944">
        <f t="shared" si="1"/>
        <v>3059.5115980565051</v>
      </c>
      <c r="N15" s="944">
        <f t="shared" ca="1" si="1"/>
        <v>42399.84059152929</v>
      </c>
      <c r="O15" s="944">
        <f t="shared" si="1"/>
        <v>431.47999999999996</v>
      </c>
      <c r="P15" s="944">
        <f t="shared" si="1"/>
        <v>1716</v>
      </c>
      <c r="Q15" s="944">
        <f t="shared" ca="1" si="1"/>
        <v>390614.44225665287</v>
      </c>
    </row>
    <row r="17" spans="1:17">
      <c r="A17" s="461" t="s">
        <v>558</v>
      </c>
      <c r="B17" s="760">
        <f ca="1">huishoudens!B10</f>
        <v>0.19263913115696801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6190.4043151545402</v>
      </c>
      <c r="C22" s="451">
        <f t="shared" ref="C22:C32" ca="1" si="3">C4*$C$17</f>
        <v>0</v>
      </c>
      <c r="D22" s="451">
        <f t="shared" ref="D22:D32" si="4">D4*$D$17</f>
        <v>12604.498356920054</v>
      </c>
      <c r="E22" s="451">
        <f t="shared" ref="E22:E32" si="5">E4*$E$17</f>
        <v>3270.8896366931954</v>
      </c>
      <c r="F22" s="451">
        <f t="shared" ref="F22:F32" si="6">F4*$F$17</f>
        <v>9230.7683704627234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31296.560679230512</v>
      </c>
    </row>
    <row r="23" spans="1:17">
      <c r="A23" s="450" t="s">
        <v>155</v>
      </c>
      <c r="B23" s="451">
        <f t="shared" ca="1" si="2"/>
        <v>4496.4675962124629</v>
      </c>
      <c r="C23" s="451">
        <f t="shared" ca="1" si="3"/>
        <v>0</v>
      </c>
      <c r="D23" s="451">
        <f t="shared" ca="1" si="4"/>
        <v>4263.0784500147956</v>
      </c>
      <c r="E23" s="451">
        <f t="shared" si="5"/>
        <v>86.754129041961633</v>
      </c>
      <c r="F23" s="451">
        <f t="shared" ca="1" si="6"/>
        <v>1591.9214675595495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10438.221642828768</v>
      </c>
    </row>
    <row r="24" spans="1:17">
      <c r="A24" s="450" t="s">
        <v>193</v>
      </c>
      <c r="B24" s="451">
        <f t="shared" ca="1" si="2"/>
        <v>154.36269899173425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154.36269899173425</v>
      </c>
    </row>
    <row r="25" spans="1:17">
      <c r="A25" s="450" t="s">
        <v>111</v>
      </c>
      <c r="B25" s="451">
        <f t="shared" ca="1" si="2"/>
        <v>823.02832700359636</v>
      </c>
      <c r="C25" s="451">
        <f t="shared" ca="1" si="3"/>
        <v>0</v>
      </c>
      <c r="D25" s="451">
        <f t="shared" si="4"/>
        <v>18.005785090775067</v>
      </c>
      <c r="E25" s="451">
        <f t="shared" si="5"/>
        <v>25.008221654113637</v>
      </c>
      <c r="F25" s="451">
        <f t="shared" si="6"/>
        <v>4169.572626053784</v>
      </c>
      <c r="G25" s="451">
        <f t="shared" si="7"/>
        <v>0</v>
      </c>
      <c r="H25" s="451">
        <f t="shared" si="8"/>
        <v>0</v>
      </c>
      <c r="I25" s="451">
        <f t="shared" si="9"/>
        <v>0</v>
      </c>
      <c r="J25" s="451">
        <f t="shared" si="10"/>
        <v>217.7334058677057</v>
      </c>
      <c r="K25" s="451">
        <f t="shared" si="11"/>
        <v>0</v>
      </c>
      <c r="L25" s="451">
        <f t="shared" si="12"/>
        <v>0</v>
      </c>
      <c r="M25" s="451">
        <f t="shared" si="13"/>
        <v>0</v>
      </c>
      <c r="N25" s="451">
        <f t="shared" si="14"/>
        <v>0</v>
      </c>
      <c r="O25" s="451">
        <f t="shared" si="15"/>
        <v>0</v>
      </c>
      <c r="P25" s="452">
        <f t="shared" si="16"/>
        <v>0</v>
      </c>
      <c r="Q25" s="450">
        <f t="shared" ca="1" si="17"/>
        <v>5253.3483656699755</v>
      </c>
    </row>
    <row r="26" spans="1:17">
      <c r="A26" s="450" t="s">
        <v>637</v>
      </c>
      <c r="B26" s="451">
        <f t="shared" ca="1" si="2"/>
        <v>2911.8056859914159</v>
      </c>
      <c r="C26" s="451">
        <f t="shared" ca="1" si="3"/>
        <v>0</v>
      </c>
      <c r="D26" s="451">
        <f t="shared" si="4"/>
        <v>791.64585962745355</v>
      </c>
      <c r="E26" s="451">
        <f t="shared" si="5"/>
        <v>172.09435514575759</v>
      </c>
      <c r="F26" s="451">
        <f t="shared" si="6"/>
        <v>1181.7766846451043</v>
      </c>
      <c r="G26" s="451">
        <f t="shared" si="7"/>
        <v>0</v>
      </c>
      <c r="H26" s="451">
        <f t="shared" si="8"/>
        <v>0</v>
      </c>
      <c r="I26" s="451">
        <f t="shared" si="9"/>
        <v>0</v>
      </c>
      <c r="J26" s="451">
        <f t="shared" si="10"/>
        <v>3.6468188811848927</v>
      </c>
      <c r="K26" s="451">
        <f t="shared" si="11"/>
        <v>0</v>
      </c>
      <c r="L26" s="451">
        <f t="shared" si="12"/>
        <v>0</v>
      </c>
      <c r="M26" s="451">
        <f t="shared" si="13"/>
        <v>0</v>
      </c>
      <c r="N26" s="451">
        <f t="shared" si="14"/>
        <v>0</v>
      </c>
      <c r="O26" s="451">
        <f t="shared" si="15"/>
        <v>0</v>
      </c>
      <c r="P26" s="452">
        <f t="shared" si="16"/>
        <v>0</v>
      </c>
      <c r="Q26" s="450">
        <f t="shared" ca="1" si="17"/>
        <v>5060.9694042909159</v>
      </c>
    </row>
    <row r="27" spans="1:17" s="456" customFormat="1">
      <c r="A27" s="454" t="s">
        <v>563</v>
      </c>
      <c r="B27" s="754">
        <f t="shared" ca="1" si="2"/>
        <v>4.737983856759759</v>
      </c>
      <c r="C27" s="455">
        <f t="shared" ca="1" si="3"/>
        <v>0</v>
      </c>
      <c r="D27" s="455">
        <f t="shared" si="4"/>
        <v>10.014042102260266</v>
      </c>
      <c r="E27" s="455">
        <f t="shared" si="5"/>
        <v>50.173848104872249</v>
      </c>
      <c r="F27" s="455">
        <f t="shared" si="6"/>
        <v>0</v>
      </c>
      <c r="G27" s="455">
        <f t="shared" si="7"/>
        <v>21296.203256269422</v>
      </c>
      <c r="H27" s="455">
        <f t="shared" si="8"/>
        <v>4207.7728879103988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25568.902018243713</v>
      </c>
    </row>
    <row r="28" spans="1:17">
      <c r="A28" s="450" t="s">
        <v>553</v>
      </c>
      <c r="B28" s="451">
        <f t="shared" ca="1" si="2"/>
        <v>0</v>
      </c>
      <c r="C28" s="451">
        <f t="shared" ca="1" si="3"/>
        <v>0</v>
      </c>
      <c r="D28" s="451">
        <f t="shared" si="4"/>
        <v>0</v>
      </c>
      <c r="E28" s="451">
        <f t="shared" si="5"/>
        <v>0</v>
      </c>
      <c r="F28" s="451">
        <f t="shared" si="6"/>
        <v>0</v>
      </c>
      <c r="G28" s="451">
        <f t="shared" si="7"/>
        <v>377.30434467252513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377.30434467252513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211.24998160973092</v>
      </c>
      <c r="C32" s="451">
        <f t="shared" ca="1" si="3"/>
        <v>0</v>
      </c>
      <c r="D32" s="451">
        <f t="shared" si="4"/>
        <v>695.36901927500014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906.61900088473112</v>
      </c>
    </row>
    <row r="33" spans="1:17" s="460" customFormat="1">
      <c r="A33" s="1004" t="s">
        <v>557</v>
      </c>
      <c r="B33" s="944">
        <f ca="1">SUM(B22:B32)</f>
        <v>14792.05658882024</v>
      </c>
      <c r="C33" s="944">
        <f t="shared" ref="C33:Q33" ca="1" si="18">SUM(C22:C32)</f>
        <v>0</v>
      </c>
      <c r="D33" s="944">
        <f t="shared" ca="1" si="18"/>
        <v>18382.611513030337</v>
      </c>
      <c r="E33" s="944">
        <f t="shared" si="18"/>
        <v>3604.9201906399007</v>
      </c>
      <c r="F33" s="944">
        <f t="shared" ca="1" si="18"/>
        <v>16174.039148721164</v>
      </c>
      <c r="G33" s="944">
        <f t="shared" si="18"/>
        <v>21673.507600941946</v>
      </c>
      <c r="H33" s="944">
        <f t="shared" si="18"/>
        <v>4207.7728879103988</v>
      </c>
      <c r="I33" s="944">
        <f t="shared" si="18"/>
        <v>0</v>
      </c>
      <c r="J33" s="944">
        <f t="shared" si="18"/>
        <v>221.38022474889058</v>
      </c>
      <c r="K33" s="944">
        <f t="shared" si="18"/>
        <v>0</v>
      </c>
      <c r="L33" s="944">
        <f t="shared" ca="1" si="18"/>
        <v>0</v>
      </c>
      <c r="M33" s="944">
        <f t="shared" si="18"/>
        <v>0</v>
      </c>
      <c r="N33" s="944">
        <f t="shared" ca="1" si="18"/>
        <v>0</v>
      </c>
      <c r="O33" s="944">
        <f t="shared" si="18"/>
        <v>0</v>
      </c>
      <c r="P33" s="944">
        <f t="shared" si="18"/>
        <v>0</v>
      </c>
      <c r="Q33" s="944">
        <f t="shared" ca="1" si="18"/>
        <v>79056.288154812879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1164.1418547147327</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7305.1797514744239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1341</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3831.4285714285716</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9853.9716061891559</v>
      </c>
      <c r="C10" s="1025">
        <f>SUM(C4:C9)</f>
        <v>0</v>
      </c>
      <c r="D10" s="1025">
        <f t="shared" ref="D10:H10" si="0">SUM(D8:D9)</f>
        <v>0</v>
      </c>
      <c r="E10" s="1025">
        <f t="shared" si="0"/>
        <v>0</v>
      </c>
      <c r="F10" s="1025">
        <f t="shared" si="0"/>
        <v>0</v>
      </c>
      <c r="G10" s="1025">
        <f t="shared" si="0"/>
        <v>0</v>
      </c>
      <c r="H10" s="1025">
        <f t="shared" si="0"/>
        <v>0</v>
      </c>
      <c r="I10" s="1025">
        <f>SUM(I8:I9)</f>
        <v>0</v>
      </c>
      <c r="J10" s="1025">
        <f>SUM(J8:J9)</f>
        <v>3882.7815126050423</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0.19263913115696801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0.19263913115696801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2020-06-20T15:51:43Z</dcterms:modified>
</cp:coreProperties>
</file>