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C9" i="18" s="1"/>
  <c r="D77" i="14" s="1"/>
  <c r="D9" i="59" s="1"/>
  <c r="O39" i="18"/>
  <c r="N39" i="18"/>
  <c r="B9" i="18" s="1"/>
  <c r="M39" i="18"/>
  <c r="W35" i="18"/>
  <c r="V35" i="18"/>
  <c r="U35" i="18"/>
  <c r="T35" i="18"/>
  <c r="S35" i="18"/>
  <c r="R35" i="18"/>
  <c r="Q35" i="18"/>
  <c r="P35" i="18"/>
  <c r="O35" i="18"/>
  <c r="N35" i="18"/>
  <c r="M35" i="18"/>
  <c r="W34" i="18"/>
  <c r="V34" i="18"/>
  <c r="U34" i="18"/>
  <c r="T34" i="18"/>
  <c r="S34" i="18"/>
  <c r="F13" i="15" s="1"/>
  <c r="R34" i="18"/>
  <c r="Q34" i="18"/>
  <c r="P34" i="18"/>
  <c r="O34" i="18"/>
  <c r="C13" i="15" s="1"/>
  <c r="N34" i="18"/>
  <c r="B13" i="15" s="1"/>
  <c r="M34" i="18"/>
  <c r="W33" i="18"/>
  <c r="V33" i="18"/>
  <c r="U33" i="18"/>
  <c r="T33" i="18"/>
  <c r="S33" i="18"/>
  <c r="R33" i="18"/>
  <c r="Q33" i="18"/>
  <c r="P33" i="18"/>
  <c r="O33" i="18"/>
  <c r="N33" i="18"/>
  <c r="M33" i="18"/>
  <c r="W32" i="18"/>
  <c r="V32" i="18"/>
  <c r="U32" i="18"/>
  <c r="T32" i="18"/>
  <c r="S32" i="18"/>
  <c r="R32" i="18"/>
  <c r="Q32" i="18"/>
  <c r="P32" i="18"/>
  <c r="O32" i="18"/>
  <c r="N32" i="18"/>
  <c r="B8" i="18" s="1"/>
  <c r="M32"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8" i="18"/>
  <c r="D52" i="18" s="1"/>
  <c r="I9" i="18"/>
  <c r="I77" i="14" s="1"/>
  <c r="I9" i="59" s="1"/>
  <c r="B17" i="18"/>
  <c r="B20" i="18" s="1"/>
  <c r="C6" i="17"/>
  <c r="E10" i="59"/>
  <c r="G77" i="14"/>
  <c r="G9" i="59" s="1"/>
  <c r="G10" i="59" s="1"/>
  <c r="J9" i="18"/>
  <c r="J77" i="14" s="1"/>
  <c r="J9" i="59" s="1"/>
  <c r="E20" i="59"/>
  <c r="C48" i="18"/>
  <c r="I51"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2" i="18"/>
  <c r="H17" i="18" s="1"/>
  <c r="E52" i="18"/>
  <c r="E17" i="18" s="1"/>
  <c r="H52"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51" i="18" l="1"/>
  <c r="B52" i="18"/>
  <c r="C17" i="18" s="1"/>
  <c r="B51" i="18"/>
  <c r="C8" i="18" s="1"/>
  <c r="D76" i="14" s="1"/>
  <c r="D8" i="59" s="1"/>
  <c r="D10" i="59" s="1"/>
  <c r="F52" i="18"/>
  <c r="G52" i="18"/>
  <c r="C52" i="18"/>
  <c r="J17" i="18" s="1"/>
  <c r="O9" i="18"/>
  <c r="G78" i="14"/>
  <c r="C77" i="14"/>
  <c r="C9" i="59" s="1"/>
  <c r="F51" i="18"/>
  <c r="H51" i="18"/>
  <c r="C51" i="18"/>
  <c r="E51" i="18"/>
  <c r="E8" i="18" s="1"/>
  <c r="F76" i="14" s="1"/>
  <c r="F8" i="59" s="1"/>
  <c r="F10" i="59" s="1"/>
  <c r="B77" i="14"/>
  <c r="B9" i="59" s="1"/>
  <c r="G51" i="18"/>
  <c r="G90" i="14"/>
  <c r="G18" i="59"/>
  <c r="G20" i="59" s="1"/>
  <c r="C88" i="14"/>
  <c r="C18" i="59" s="1"/>
  <c r="Q88" i="14"/>
  <c r="P18" i="59" s="1"/>
  <c r="C89" i="14"/>
  <c r="C19" i="59" s="1"/>
  <c r="F19" i="59"/>
  <c r="Q89" i="14"/>
  <c r="P19" i="59" s="1"/>
  <c r="C20" i="18"/>
  <c r="D87" i="14"/>
  <c r="D17" i="59" s="1"/>
  <c r="D20" i="59" s="1"/>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63" i="14"/>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J22" i="16"/>
  <c r="K43" i="14" s="1"/>
  <c r="K46" i="14" s="1"/>
  <c r="K61" i="14" s="1"/>
  <c r="J8" i="48"/>
  <c r="K13" i="14"/>
  <c r="K16" i="14" s="1"/>
  <c r="K27" i="14" s="1"/>
  <c r="E23" i="48"/>
  <c r="E33" i="48" s="1"/>
  <c r="E22" i="16"/>
  <c r="F43" i="14" s="1"/>
  <c r="F46" i="14" s="1"/>
  <c r="F61" i="14" s="1"/>
  <c r="G33" i="48"/>
  <c r="N8" i="48"/>
  <c r="N26" i="48" s="1"/>
  <c r="O13" i="14"/>
  <c r="N22" i="16"/>
  <c r="O43" i="14" s="1"/>
  <c r="G13" i="14"/>
  <c r="R13" i="14" s="1"/>
  <c r="F8" i="48"/>
  <c r="J26" i="48" l="1"/>
  <c r="J33" i="48" s="1"/>
  <c r="J15" i="48"/>
  <c r="K63" i="14"/>
  <c r="F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<sst xmlns="http://schemas.openxmlformats.org/spreadsheetml/2006/main" count="2450" uniqueCount="917">
  <si>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</si>
  <si>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</si>
  <si>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</si>
  <si>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</si>
  <si>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</si>
  <si>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</si>
  <si>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</si>
  <si>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</si>
  <si>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</si>
  <si>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</si>
  <si>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</si>
  <si>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</si>
  <si>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</si>
  <si>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</si>
  <si>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</si>
  <si>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</si>
  <si>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</si>
  <si>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</si>
  <si>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</si>
  <si>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</si>
  <si>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</si>
  <si>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</si>
  <si>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</si>
  <si>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</si>
  <si>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</si>
  <si>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</si>
  <si>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</si>
  <si>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</si>
  <si>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</si>
  <si>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</si>
  <si>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</si>
  <si>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</si>
  <si>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</si>
  <si>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</si>
  <si>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</si>
  <si>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</si>
  <si>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</si>
  <si>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</si>
  <si>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</si>
  <si>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</si>
  <si>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</si>
  <si>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</si>
  <si>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</si>
  <si>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</si>
  <si>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</si>
  <si>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</si>
  <si>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</si>
  <si>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</si>
  <si>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</si>
  <si>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</si>
  <si>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</si>
  <si>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</si>
  <si>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</si>
  <si>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</si>
  <si>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</si>
  <si>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</si>
  <si>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</si>
  <si>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</si>
  <si>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</si>
  <si>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</si>
  <si>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</si>
  <si>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</si>
  <si>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</si>
  <si>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</si>
  <si>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</si>
  <si>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</si>
  <si>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</si>
  <si>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</si>
  <si>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</si>
  <si>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</si>
  <si>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</si>
  <si>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</si>
  <si>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</si>
  <si>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</si>
  <si>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</si>
  <si>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</si>
  <si>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</si>
  <si>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</si>
  <si>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</si>
  <si>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</si>
  <si>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</si>
  <si>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</si>
  <si>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</si>
  <si>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</si>
  <si>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</si>
  <si>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</si>
  <si>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</si>
  <si>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</si>
  <si>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</si>
  <si>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</si>
  <si>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</si>
  <si>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</si>
  <si>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</si>
  <si>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</si>
  <si>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</si>
  <si>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</si>
  <si>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</si>
  <si>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</si>
  <si>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</si>
  <si>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</si>
  <si>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</si>
  <si>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</si>
  <si>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</si>
  <si>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</si>
  <si>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</si>
  <si>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</si>
  <si>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</si>
  <si>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</si>
  <si>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</si>
  <si>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</si>
  <si>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</si>
  <si>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</si>
  <si>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</si>
  <si>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</si>
  <si>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</si>
  <si>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</si>
  <si>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</si>
  <si>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</si>
  <si>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</si>
  <si>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</si>
  <si>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</si>
  <si>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</si>
  <si>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</si>
  <si>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</si>
  <si>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</si>
  <si>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</si>
  <si>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</si>
  <si>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</si>
  <si>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</si>
  <si>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</si>
  <si>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</si>
  <si>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</si>
  <si>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</si>
  <si>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</si>
  <si>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</si>
  <si>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</si>
  <si>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</si>
  <si>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</si>
  <si>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</si>
  <si>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</si>
  <si>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</si>
  <si>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</si>
  <si>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</si>
  <si>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</si>
  <si>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</si>
  <si>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</si>
  <si>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</si>
  <si>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</si>
  <si>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</si>
  <si>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</si>
  <si>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</si>
  <si>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</si>
  <si>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</si>
  <si>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</si>
  <si>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</si>
  <si>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</si>
  <si>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</si>
  <si>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</si>
  <si>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</si>
  <si>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</si>
  <si>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</si>
  <si>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</si>
  <si>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</si>
  <si>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</si>
  <si>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</si>
  <si>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</si>
  <si>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</si>
  <si>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</si>
  <si>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</si>
  <si>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</si>
  <si>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</si>
  <si>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</si>
  <si>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</si>
  <si>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</si>
  <si>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</si>
  <si>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</si>
  <si>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</si>
  <si>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</si>
  <si>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</si>
  <si>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</si>
  <si>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</si>
  <si>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</si>
  <si>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</si>
  <si>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</si>
  <si>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</si>
  <si>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</si>
  <si>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</si>
  <si>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</si>
  <si>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</si>
  <si>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</si>
  <si>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</si>
  <si>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</si>
  <si>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</si>
  <si>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</si>
  <si>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</si>
  <si>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</si>
  <si>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</si>
  <si>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</si>
  <si>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</si>
  <si>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</si>
  <si>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</si>
  <si>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</si>
  <si>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</si>
  <si>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</si>
  <si>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</si>
  <si>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</si>
  <si>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</si>
  <si>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</si>
  <si>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</si>
  <si>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</si>
  <si>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</si>
  <si>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</si>
  <si>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</si>
  <si>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</si>
  <si>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</si>
  <si>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</si>
  <si>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</si>
  <si>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</si>
  <si>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</si>
  <si>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</si>
  <si>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</si>
  <si>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</si>
  <si>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</si>
  <si>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</si>
  <si>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</si>
  <si>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</si>
  <si>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</si>
  <si>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</si>
  <si>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</si>
  <si>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</si>
  <si>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</si>
  <si>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</si>
  <si>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</si>
  <si>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</si>
  <si>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</si>
  <si>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</si>
  <si>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</si>
  <si>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</si>
  <si>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</si>
  <si>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</si>
  <si>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</si>
  <si>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</si>
  <si>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</si>
  <si>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</si>
  <si>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</si>
  <si>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</si>
  <si>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</si>
  <si>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</si>
  <si>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</si>
  <si>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</si>
  <si>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</si>
  <si>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</si>
  <si>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</si>
  <si>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</si>
  <si>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</si>
  <si>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</si>
  <si>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</si>
  <si>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</si>
  <si>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</si>
  <si>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</si>
  <si>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</si>
  <si>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</si>
  <si>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</si>
  <si>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</si>
  <si>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</si>
  <si>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</si>
  <si>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</si>
  <si>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</si>
  <si>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</si>
  <si>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</si>
  <si>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</si>
  <si>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</si>
  <si>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</si>
  <si>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</si>
  <si>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</si>
  <si>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</si>
  <si>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</si>
  <si>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</si>
  <si>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</si>
  <si>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</si>
  <si>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</si>
  <si>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</si>
  <si>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</si>
  <si>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</si>
  <si>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</si>
  <si>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</si>
  <si>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</si>
  <si>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</si>
  <si>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</si>
  <si>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</si>
  <si>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</si>
  <si>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</si>
  <si>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</si>
  <si>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</si>
  <si>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</si>
  <si>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</si>
  <si>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</si>
  <si>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</si>
  <si>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</si>
  <si>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</si>
  <si>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</si>
  <si>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</si>
  <si>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</si>
  <si>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</si>
  <si>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</si>
  <si>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</si>
  <si>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</si>
  <si>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</si>
  <si>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</si>
  <si>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</si>
  <si>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</si>
  <si>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</si>
  <si>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</si>
  <si>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</si>
  <si>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</si>
  <si>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</si>
  <si>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</si>
  <si>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</si>
  <si>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</si>
  <si>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</si>
  <si>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</si>
  <si>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</si>
  <si>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</si>
  <si>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</si>
  <si>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</si>
  <si>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</si>
  <si>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</si>
  <si>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</si>
  <si>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</si>
  <si>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</si>
  <si>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</si>
  <si>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</si>
  <si>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</si>
  <si>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</si>
  <si>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</si>
  <si>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</si>
  <si>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</si>
  <si>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</si>
  <si>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</si>
  <si>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</si>
  <si>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</si>
  <si>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</si>
  <si>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</si>
  <si>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</si>
  <si>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</si>
  <si>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</si>
  <si>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</si>
  <si>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</si>
  <si>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</si>
  <si>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</si>
  <si>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</si>
  <si>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</si>
  <si>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</si>
  <si>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</si>
  <si>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</si>
  <si>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</si>
  <si>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</si>
  <si>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</si>
  <si>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</si>
  <si>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</si>
  <si>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</si>
  <si>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</si>
  <si>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</si>
  <si>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</si>
  <si>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</si>
  <si>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</si>
  <si>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</si>
  <si>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</si>
  <si>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</si>
  <si>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</si>
  <si>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</si>
  <si>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</si>
  <si>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</si>
  <si>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</si>
  <si>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</si>
  <si>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</si>
  <si>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</si>
  <si>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</si>
  <si>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</si>
  <si>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</si>
  <si>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</si>
  <si>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</si>
  <si>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</si>
  <si>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</si>
  <si>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</si>
  <si>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</si>
  <si>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</si>
  <si>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</si>
  <si>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</si>
  <si>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</si>
  <si>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</si>
  <si>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</si>
  <si>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</si>
  <si>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</si>
  <si>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</si>
  <si>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</si>
  <si>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</si>
  <si>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</si>
  <si>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</si>
  <si>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</si>
  <si>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</si>
  <si>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</si>
  <si>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</si>
  <si>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</si>
  <si>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</si>
  <si>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</si>
  <si>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</si>
  <si>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</si>
  <si>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</si>
  <si>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</si>
  <si>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</si>
  <si>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</si>
  <si>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</si>
  <si>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</si>
  <si>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</si>
  <si>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</si>
  <si>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</si>
  <si>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</si>
  <si>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</si>
  <si>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</si>
  <si>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</si>
  <si>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</si>
  <si>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</si>
  <si>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</si>
  <si>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</si>
  <si>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</si>
  <si>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</si>
  <si>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</si>
  <si>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</si>
  <si>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</si>
  <si>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</si>
  <si>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</si>
  <si>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</si>
  <si>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</si>
  <si>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</si>
  <si>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</si>
  <si>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</si>
  <si>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</si>
  <si>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</si>
  <si>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</si>
  <si>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</si>
  <si>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</si>
  <si>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</si>
  <si>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</si>
  <si>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</si>
  <si>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</si>
  <si>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</si>
  <si>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</si>
  <si>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</si>
  <si>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</si>
  <si>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</si>
  <si>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</si>
  <si>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</si>
  <si>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</si>
  <si>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</si>
  <si>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</si>
  <si>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</si>
  <si>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</si>
  <si>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</si>
  <si>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</si>
  <si>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</si>
  <si>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</si>
  <si>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</si>
  <si>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</si>
  <si>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</si>
  <si>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</si>
  <si>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</si>
  <si>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</si>
  <si>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</si>
  <si>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</si>
  <si>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</si>
  <si>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</si>
  <si>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</si>
  <si>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</si>
  <si>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</si>
  <si>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</si>
  <si>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</si>
  <si>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</si>
  <si>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</si>
  <si>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</si>
  <si>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</si>
  <si>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</si>
  <si>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</si>
  <si>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</si>
  <si>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</si>
  <si>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</si>
  <si>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</si>
  <si>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</si>
  <si>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</si>
  <si>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</si>
  <si>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</si>
  <si>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</si>
  <si>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</si>
  <si>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</si>
  <si>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</si>
  <si>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</si>
  <si>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</si>
  <si>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</si>
  <si>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</si>
  <si>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</si>
  <si>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</si>
  <si>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</si>
  <si>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</si>
  <si>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</si>
  <si>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</si>
  <si>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</si>
  <si>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</si>
  <si>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</si>
  <si>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</si>
  <si>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</si>
  <si>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</si>
  <si>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</si>
  <si>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</si>
  <si>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</si>
  <si>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</si>
  <si>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</si>
  <si>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</si>
  <si>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</si>
  <si>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</si>
  <si>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</si>
  <si>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</si>
  <si>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</si>
  <si>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</si>
  <si>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</si>
  <si>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</si>
  <si>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</si>
  <si>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</si>
  <si>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</si>
  <si>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</si>
  <si>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</si>
  <si>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</si>
  <si>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</si>
  <si>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</si>
  <si>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</si>
  <si>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</si>
  <si>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</si>
  <si>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</si>
  <si>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</si>
  <si>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</si>
  <si>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</si>
  <si>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</si>
  <si>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</si>
  <si>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</si>
  <si>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</si>
  <si>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</si>
  <si>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</si>
  <si>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</si>
  <si>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</si>
  <si>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</si>
  <si>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</si>
  <si>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</si>
  <si>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</si>
  <si>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</si>
  <si>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</si>
  <si>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</si>
  <si>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</si>
  <si>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</si>
  <si>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</si>
  <si>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</si>
  <si>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</si>
  <si>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</si>
  <si>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</si>
  <si>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</si>
  <si>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</si>
  <si>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</si>
  <si>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</si>
  <si>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</si>
  <si>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</si>
  <si>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</si>
  <si>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</si>
  <si>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</si>
  <si>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</si>
  <si>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</si>
  <si>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</si>
  <si>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</si>
  <si>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</si>
  <si>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</si>
  <si>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</si>
  <si>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</si>
  <si>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</si>
  <si>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</si>
  <si>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</si>
  <si>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</si>
  <si>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</si>
  <si>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</si>
  <si>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</si>
  <si>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</si>
  <si>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</si>
  <si>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</si>
  <si>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</si>
  <si>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</si>
  <si>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</si>
  <si>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</si>
  <si>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</si>
  <si>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</si>
  <si>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</si>
  <si>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</si>
  <si>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</si>
  <si>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</si>
  <si>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</si>
  <si>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</si>
  <si>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</si>
  <si>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</si>
  <si>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</si>
  <si>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</si>
  <si>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</si>
  <si>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</si>
  <si>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</si>
  <si>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</si>
  <si>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</si>
  <si>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</si>
  <si>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</si>
  <si>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</si>
  <si>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</si>
  <si>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</si>
  <si>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</si>
  <si>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</si>
  <si>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</si>
  <si>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</si>
  <si>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</si>
  <si>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</si>
  <si>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</si>
  <si>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</si>
  <si>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</si>
  <si>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</si>
  <si>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</si>
  <si>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</si>
  <si>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</si>
  <si>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</si>
  <si>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</si>
  <si>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</si>
  <si>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</si>
  <si>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</si>
  <si>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</si>
  <si>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</si>
  <si>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</si>
  <si>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</si>
  <si>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</si>
  <si>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</si>
  <si>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</si>
  <si>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</si>
  <si>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</si>
  <si>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</si>
  <si>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</si>
  <si>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</si>
  <si>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</si>
  <si>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</si>
  <si>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</si>
  <si>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</si>
  <si>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</si>
  <si>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</si>
  <si>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</si>
  <si>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</si>
  <si>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</si>
  <si>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</si>
  <si>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</si>
  <si>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</si>
  <si>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</si>
  <si>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</si>
  <si>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</si>
  <si>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</si>
  <si>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</si>
  <si>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</si>
  <si>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</si>
  <si>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</si>
  <si>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</si>
  <si>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</si>
  <si>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</si>
  <si>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</si>
  <si>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</si>
  <si>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</si>
  <si>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</si>
  <si>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</si>
  <si>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</si>
  <si>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</si>
  <si>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</si>
  <si>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</si>
  <si>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</si>
  <si>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</si>
  <si>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</si>
  <si>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</si>
  <si>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</si>
  <si>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</si>
  <si>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</si>
  <si>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</si>
  <si>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</si>
  <si>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</si>
  <si>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</si>
  <si>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</si>
  <si>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</si>
  <si>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</si>
  <si>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</si>
  <si>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</si>
  <si>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</si>
  <si>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</si>
  <si>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</si>
  <si>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</si>
  <si>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</si>
  <si>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</si>
  <si>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</si>
  <si>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</si>
  <si>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</si>
  <si>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</si>
  <si>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</si>
  <si>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</si>
  <si>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</si>
  <si>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</si>
  <si>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</si>
  <si>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</si>
  <si>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</si>
  <si>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</si>
  <si>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</si>
  <si>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</si>
  <si>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</si>
  <si>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</si>
  <si>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</si>
  <si>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</si>
  <si>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</si>
  <si>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</si>
  <si>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</si>
  <si>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</si>
  <si>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</si>
  <si>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</si>
  <si>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</si>
  <si>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</si>
  <si>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</si>
  <si>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</si>
  <si>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</si>
  <si>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</si>
  <si>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</si>
  <si>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</si>
  <si>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</si>
  <si>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</si>
  <si>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</si>
  <si>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</si>
  <si>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</si>
  <si>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</si>
  <si>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</si>
  <si>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</si>
  <si>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</si>
  <si>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</si>
  <si>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</si>
  <si>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</si>
  <si>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</si>
  <si>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</si>
  <si>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</si>
  <si>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</si>
  <si>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</si>
  <si>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</si>
  <si>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</si>
  <si>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</si>
  <si>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</si>
  <si>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</si>
  <si>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</si>
  <si>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</si>
  <si>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</si>
  <si>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</si>
  <si>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</si>
  <si>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</si>
  <si>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</si>
  <si>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</si>
  <si>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</si>
  <si>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</si>
  <si>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</si>
  <si>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</si>
  <si>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</si>
  <si>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</si>
  <si>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</si>
  <si>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</si>
  <si>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</si>
  <si>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</si>
  <si>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</si>
  <si>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</si>
  <si>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</si>
  <si>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</si>
  <si>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</si>
  <si>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</si>
  <si>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</si>
  <si>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</si>
  <si>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</si>
  <si>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</si>
  <si>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</si>
  <si>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</si>
  <si>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</si>
  <si>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</si>
  <si>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</si>
  <si>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</si>
  <si>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</si>
  <si>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</si>
  <si>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</si>
  <si>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</si>
  <si>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</si>
  <si>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</si>
  <si>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</si>
  <si>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</si>
  <si>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</si>
  <si>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</si>
  <si>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</si>
  <si>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</si>
  <si>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</si>
  <si>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</si>
  <si>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</si>
  <si>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</si>
  <si>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</si>
  <si>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</si>
  <si>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</si>
  <si>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</si>
  <si>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</si>
  <si>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</si>
  <si>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</si>
  <si>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</si>
  <si>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</si>
  <si>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</si>
  <si>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</si>
  <si>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</si>
  <si>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</si>
  <si>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</si>
  <si>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</si>
  <si>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</si>
  <si>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</si>
  <si>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</si>
  <si>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</si>
  <si>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</si>
  <si>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</si>
  <si>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</si>
  <si>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</si>
  <si>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</si>
  <si>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</si>
  <si>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</si>
  <si>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</si>
  <si>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</si>
  <si>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</si>
  <si>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</si>
  <si>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</si>
  <si>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</si>
  <si>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</si>
  <si>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</si>
  <si>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</si>
  <si>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</si>
  <si>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</si>
  <si>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</si>
  <si>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</si>
  <si>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</si>
  <si>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</si>
  <si>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</si>
  <si>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</si>
  <si>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</si>
  <si>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</si>
  <si>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</si>
  <si>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</si>
  <si>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</si>
  <si>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</si>
  <si>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</si>
  <si>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</si>
  <si>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</si>
  <si>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</si>
  <si>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</si>
  <si>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</si>
  <si>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</si>
  <si>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</si>
  <si>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</si>
  <si>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</si>
  <si>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</si>
  <si>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</si>
  <si>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</si>
  <si>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</si>
  <si>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</si>
  <si>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</si>
  <si>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</si>
  <si>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</si>
  <si>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</si>
  <si>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</si>
  <si>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</si>
  <si>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</si>
  <si>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</si>
  <si>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</si>
  <si>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</si>
  <si>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</si>
  <si>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</si>
  <si>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</si>
  <si>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</si>
  <si>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</si>
  <si>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</si>
  <si>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</si>
  <si>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</si>
  <si>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</si>
  <si>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</si>
  <si>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</si>
  <si>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</si>
  <si>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</si>
  <si>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13013</t>
  </si>
  <si>
    <t>HERSELT</t>
  </si>
  <si>
    <t>Paarden&amp;pony's 200 - 600 kg</t>
  </si>
  <si>
    <t>Paarden&amp;pony's &lt; 200 kg</t>
  </si>
  <si>
    <t>Fluvius</t>
  </si>
  <si>
    <t>referentietaak LNE (2017); Jaarverslag De Lijn</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</si>
  <si>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</si>
  <si>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</si>
  <si>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</si>
  <si>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</si>
  <si>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</si>
  <si>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</si>
  <si>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</si>
  <si>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</si>
  <si>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</si>
  <si>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Woonzorgcentrum Sint-Barbara vzw</t>
  </si>
  <si>
    <t>Dieperstraat 17 , 2230 Herselt</t>
  </si>
  <si>
    <t>WKK-0648 Woonzorgcentrum Sint-Barbara</t>
  </si>
  <si>
    <t>WKK-0652 Firma De Ploeg</t>
  </si>
  <si>
    <t>Diestsebaan 73 , 2230 Herselt</t>
  </si>
  <si>
    <t>Aquafin NV</t>
  </si>
  <si>
    <t>Dijkstraat 8 , 2630 Aartselaar</t>
  </si>
  <si>
    <t>BGS-0047 RWZI Westerlo</t>
  </si>
  <si>
    <t>biogas - RWZI</t>
  </si>
  <si>
    <t>niet WKK interne verbrandingsmotor (gas)</t>
  </si>
  <si>
    <t>Kwarrekendreef 2 , 2230 Westerlo</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</si>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</sst>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164716.7328125124</c:v>
                </c:pt>
                <c:pt idx="1">
                  <c:v>23166.498417382489</c:v>
                </c:pt>
                <c:pt idx="2">
                  <c:v>913.577</c:v>
                </c:pt>
                <c:pt idx="3">
                  <c:v>32297.572339700553</c:v>
                </c:pt>
                <c:pt idx="4">
                  <c:v>14617.608376148995</c:v>
                </c:pt>
                <c:pt idx="5">
                  <c:v>83394.889431103802</c:v>
                </c:pt>
                <c:pt idx="6">
                  <c:v>1212.0909975452098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164716.7328125124</c:v>
                </c:pt>
                <c:pt idx="1">
                  <c:v>23166.498417382489</c:v>
                </c:pt>
                <c:pt idx="2">
                  <c:v>913.577</c:v>
                </c:pt>
                <c:pt idx="3">
                  <c:v>32297.572339700553</c:v>
                </c:pt>
                <c:pt idx="4">
                  <c:v>14617.608376148995</c:v>
                </c:pt>
                <c:pt idx="5">
                  <c:v>83394.889431103802</c:v>
                </c:pt>
                <c:pt idx="6">
                  <c:v>1212.0909975452098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30803.108431394223</c:v>
                </c:pt>
                <c:pt idx="2">
                  <c:v>4034.047972064071</c:v>
                </c:pt>
                <c:pt idx="3">
                  <c:v>122.53305343847222</c:v>
                </c:pt>
                <c:pt idx="4">
                  <c:v>3958.3825675535195</c:v>
                </c:pt>
                <c:pt idx="5">
                  <c:v>2492.9505210071566</c:v>
                </c:pt>
                <c:pt idx="6">
                  <c:v>21319.346004929084</c:v>
                </c:pt>
                <c:pt idx="7">
                  <c:v>313.90398805501923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30803.108431394223</c:v>
                </c:pt>
                <c:pt idx="2">
                  <c:v>4034.047972064071</c:v>
                </c:pt>
                <c:pt idx="3">
                  <c:v>122.53305343847222</c:v>
                </c:pt>
                <c:pt idx="4">
                  <c:v>3958.3825675535195</c:v>
                </c:pt>
                <c:pt idx="5">
                  <c:v>2492.9505210071566</c:v>
                </c:pt>
                <c:pt idx="6">
                  <c:v>21319.346004929084</c:v>
                </c:pt>
                <c:pt idx="7">
                  <c:v>313.90398805501923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13013</v>
      </c>
      <c r="B6" s="390"/>
      <c r="C6" s="391"/>
    </row>
    <row r="7" spans="1:7" s="388" customFormat="1" ht="15.75" customHeight="1">
      <c r="A7" s="392" t="str">
        <f>txtMunicipality</f>
        <v>HERSELT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0.13412449463862622</v>
      </c>
      <c r="C17" s="498">
        <f ca="1">'EF ele_warmte'!B22</f>
        <v>9.4033976110042536E-2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0.13412449463862622</v>
      </c>
      <c r="C29" s="499">
        <f ca="1">'EF ele_warmte'!B22</f>
        <v>9.4033976110042536E-2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6028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1677.2</v>
      </c>
      <c r="C14" s="330"/>
      <c r="D14" s="330"/>
      <c r="E14" s="330"/>
      <c r="F14" s="330"/>
    </row>
    <row r="15" spans="1:6">
      <c r="A15" s="1291" t="s">
        <v>183</v>
      </c>
      <c r="B15" s="1292">
        <v>2631</v>
      </c>
      <c r="C15" s="330"/>
      <c r="D15" s="330"/>
      <c r="E15" s="330"/>
      <c r="F15" s="330"/>
    </row>
    <row r="16" spans="1:6">
      <c r="A16" s="1291" t="s">
        <v>6</v>
      </c>
      <c r="B16" s="1292">
        <v>823</v>
      </c>
      <c r="C16" s="330"/>
      <c r="D16" s="330"/>
      <c r="E16" s="330"/>
      <c r="F16" s="330"/>
    </row>
    <row r="17" spans="1:6">
      <c r="A17" s="1291" t="s">
        <v>7</v>
      </c>
      <c r="B17" s="1292">
        <v>217</v>
      </c>
      <c r="C17" s="330"/>
      <c r="D17" s="330"/>
      <c r="E17" s="330"/>
      <c r="F17" s="330"/>
    </row>
    <row r="18" spans="1:6">
      <c r="A18" s="1291" t="s">
        <v>8</v>
      </c>
      <c r="B18" s="1292">
        <v>586</v>
      </c>
      <c r="C18" s="330"/>
      <c r="D18" s="330"/>
      <c r="E18" s="330"/>
      <c r="F18" s="330"/>
    </row>
    <row r="19" spans="1:6">
      <c r="A19" s="1291" t="s">
        <v>9</v>
      </c>
      <c r="B19" s="1292">
        <v>546</v>
      </c>
      <c r="C19" s="330"/>
      <c r="D19" s="330"/>
      <c r="E19" s="330"/>
      <c r="F19" s="330"/>
    </row>
    <row r="20" spans="1:6">
      <c r="A20" s="1291" t="s">
        <v>10</v>
      </c>
      <c r="B20" s="1292">
        <v>245</v>
      </c>
      <c r="C20" s="330"/>
      <c r="D20" s="330"/>
      <c r="E20" s="330"/>
      <c r="F20" s="330"/>
    </row>
    <row r="21" spans="1:6">
      <c r="A21" s="1291" t="s">
        <v>11</v>
      </c>
      <c r="B21" s="1292">
        <v>3214</v>
      </c>
      <c r="C21" s="330"/>
      <c r="D21" s="330"/>
      <c r="E21" s="330"/>
      <c r="F21" s="330"/>
    </row>
    <row r="22" spans="1:6">
      <c r="A22" s="1291" t="s">
        <v>12</v>
      </c>
      <c r="B22" s="1292">
        <v>16</v>
      </c>
      <c r="C22" s="330"/>
      <c r="D22" s="330"/>
      <c r="E22" s="330"/>
      <c r="F22" s="330"/>
    </row>
    <row r="23" spans="1:6">
      <c r="A23" s="1291" t="s">
        <v>13</v>
      </c>
      <c r="B23" s="1292">
        <v>196</v>
      </c>
      <c r="C23" s="330"/>
      <c r="D23" s="330"/>
      <c r="E23" s="330"/>
      <c r="F23" s="330"/>
    </row>
    <row r="24" spans="1:6">
      <c r="A24" s="1291" t="s">
        <v>14</v>
      </c>
      <c r="B24" s="1292">
        <v>5</v>
      </c>
      <c r="C24" s="330"/>
      <c r="D24" s="330"/>
      <c r="E24" s="330"/>
      <c r="F24" s="330"/>
    </row>
    <row r="25" spans="1:6">
      <c r="A25" s="1291" t="s">
        <v>15</v>
      </c>
      <c r="B25" s="1292">
        <v>701</v>
      </c>
      <c r="C25" s="330"/>
      <c r="D25" s="330"/>
      <c r="E25" s="330"/>
      <c r="F25" s="330"/>
    </row>
    <row r="26" spans="1:6">
      <c r="A26" s="1291" t="s">
        <v>16</v>
      </c>
      <c r="B26" s="1292">
        <v>170</v>
      </c>
      <c r="C26" s="330"/>
      <c r="D26" s="330"/>
      <c r="E26" s="330"/>
      <c r="F26" s="330"/>
    </row>
    <row r="27" spans="1:6">
      <c r="A27" s="1291" t="s">
        <v>17</v>
      </c>
      <c r="B27" s="1292">
        <v>10</v>
      </c>
      <c r="C27" s="330"/>
      <c r="D27" s="330"/>
      <c r="E27" s="330"/>
      <c r="F27" s="330"/>
    </row>
    <row r="28" spans="1:6" s="43" customFormat="1">
      <c r="A28" s="1293" t="s">
        <v>18</v>
      </c>
      <c r="B28" s="1294">
        <v>15074</v>
      </c>
      <c r="C28" s="336"/>
      <c r="D28" s="336"/>
      <c r="E28" s="336"/>
      <c r="F28" s="336"/>
    </row>
    <row r="29" spans="1:6">
      <c r="A29" s="1293" t="s">
        <v>892</v>
      </c>
      <c r="B29" s="1294">
        <v>197</v>
      </c>
      <c r="C29" s="336"/>
      <c r="D29" s="336"/>
      <c r="E29" s="336"/>
      <c r="F29" s="336"/>
    </row>
    <row r="30" spans="1:6">
      <c r="A30" s="1286" t="s">
        <v>893</v>
      </c>
      <c r="B30" s="1295">
        <v>38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70701.911709000007</v>
      </c>
      <c r="E38" s="1292">
        <v>0</v>
      </c>
      <c r="F38" s="1292">
        <v>0</v>
      </c>
    </row>
    <row r="39" spans="1:6">
      <c r="A39" s="1291" t="s">
        <v>29</v>
      </c>
      <c r="B39" s="1291" t="s">
        <v>30</v>
      </c>
      <c r="C39" s="1292">
        <v>2126</v>
      </c>
      <c r="D39" s="1292">
        <v>32213958.307999998</v>
      </c>
      <c r="E39" s="1292">
        <v>6179</v>
      </c>
      <c r="F39" s="1292">
        <v>21911217.721000001</v>
      </c>
    </row>
    <row r="40" spans="1:6">
      <c r="A40" s="1291" t="s">
        <v>29</v>
      </c>
      <c r="B40" s="1291" t="s">
        <v>28</v>
      </c>
      <c r="C40" s="1292">
        <v>0</v>
      </c>
      <c r="D40" s="1292">
        <v>0</v>
      </c>
      <c r="E40" s="1292">
        <v>0</v>
      </c>
      <c r="F40" s="1292">
        <v>4478</v>
      </c>
    </row>
    <row r="41" spans="1:6">
      <c r="A41" s="1291" t="s">
        <v>31</v>
      </c>
      <c r="B41" s="1291" t="s">
        <v>32</v>
      </c>
      <c r="C41" s="1292">
        <v>23</v>
      </c>
      <c r="D41" s="1292">
        <v>476023.20305000001</v>
      </c>
      <c r="E41" s="1292">
        <v>101</v>
      </c>
      <c r="F41" s="1292">
        <v>852472.96490999998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71634.569587999998</v>
      </c>
      <c r="E44" s="1292">
        <v>15</v>
      </c>
      <c r="F44" s="1292">
        <v>103038.95186</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9354.9555942999996</v>
      </c>
    </row>
    <row r="48" spans="1:6">
      <c r="A48" s="1291" t="s">
        <v>31</v>
      </c>
      <c r="B48" s="1291" t="s">
        <v>28</v>
      </c>
      <c r="C48" s="1292">
        <v>18</v>
      </c>
      <c r="D48" s="1292">
        <v>6456863.7909000004</v>
      </c>
      <c r="E48" s="1292">
        <v>27</v>
      </c>
      <c r="F48" s="1292">
        <v>216370.76702999999</v>
      </c>
    </row>
    <row r="49" spans="1:6">
      <c r="A49" s="1291" t="s">
        <v>31</v>
      </c>
      <c r="B49" s="1291" t="s">
        <v>39</v>
      </c>
      <c r="C49" s="1292">
        <v>0</v>
      </c>
      <c r="D49" s="1292">
        <v>0</v>
      </c>
      <c r="E49" s="1292">
        <v>0</v>
      </c>
      <c r="F49" s="1292">
        <v>0</v>
      </c>
    </row>
    <row r="50" spans="1:6">
      <c r="A50" s="1291" t="s">
        <v>31</v>
      </c>
      <c r="B50" s="1291" t="s">
        <v>40</v>
      </c>
      <c r="C50" s="1292">
        <v>4</v>
      </c>
      <c r="D50" s="1292">
        <v>686024.22638999997</v>
      </c>
      <c r="E50" s="1292">
        <v>11</v>
      </c>
      <c r="F50" s="1292">
        <v>3289386.9136999999</v>
      </c>
    </row>
    <row r="51" spans="1:6">
      <c r="A51" s="1291" t="s">
        <v>41</v>
      </c>
      <c r="B51" s="1291" t="s">
        <v>42</v>
      </c>
      <c r="C51" s="1292">
        <v>3</v>
      </c>
      <c r="D51" s="1292">
        <v>21961838.385000002</v>
      </c>
      <c r="E51" s="1292">
        <v>44</v>
      </c>
      <c r="F51" s="1292">
        <v>1237471.1316</v>
      </c>
    </row>
    <row r="52" spans="1:6">
      <c r="A52" s="1291" t="s">
        <v>41</v>
      </c>
      <c r="B52" s="1291" t="s">
        <v>28</v>
      </c>
      <c r="C52" s="1292">
        <v>3</v>
      </c>
      <c r="D52" s="1292">
        <v>86685.138793999999</v>
      </c>
      <c r="E52" s="1292">
        <v>8</v>
      </c>
      <c r="F52" s="1292">
        <v>54388.250665</v>
      </c>
    </row>
    <row r="53" spans="1:6">
      <c r="A53" s="1291" t="s">
        <v>43</v>
      </c>
      <c r="B53" s="1291" t="s">
        <v>44</v>
      </c>
      <c r="C53" s="1292">
        <v>43</v>
      </c>
      <c r="D53" s="1292">
        <v>927261.07129999995</v>
      </c>
      <c r="E53" s="1292">
        <v>282</v>
      </c>
      <c r="F53" s="1292">
        <v>891863.55313999997</v>
      </c>
    </row>
    <row r="54" spans="1:6">
      <c r="A54" s="1291" t="s">
        <v>45</v>
      </c>
      <c r="B54" s="1291" t="s">
        <v>46</v>
      </c>
      <c r="C54" s="1292">
        <v>0</v>
      </c>
      <c r="D54" s="1292">
        <v>0</v>
      </c>
      <c r="E54" s="1292">
        <v>1</v>
      </c>
      <c r="F54" s="1292">
        <v>913577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18</v>
      </c>
      <c r="D57" s="1292">
        <v>683017.67744</v>
      </c>
      <c r="E57" s="1292">
        <v>85</v>
      </c>
      <c r="F57" s="1292">
        <v>1230134.6534</v>
      </c>
    </row>
    <row r="58" spans="1:6">
      <c r="A58" s="1291" t="s">
        <v>48</v>
      </c>
      <c r="B58" s="1291" t="s">
        <v>50</v>
      </c>
      <c r="C58" s="1292">
        <v>3</v>
      </c>
      <c r="D58" s="1292">
        <v>81311.746901000006</v>
      </c>
      <c r="E58" s="1292">
        <v>18</v>
      </c>
      <c r="F58" s="1292">
        <v>202248.59581</v>
      </c>
    </row>
    <row r="59" spans="1:6">
      <c r="A59" s="1291" t="s">
        <v>48</v>
      </c>
      <c r="B59" s="1291" t="s">
        <v>51</v>
      </c>
      <c r="C59" s="1292">
        <v>27</v>
      </c>
      <c r="D59" s="1292">
        <v>1095258.513</v>
      </c>
      <c r="E59" s="1292">
        <v>134</v>
      </c>
      <c r="F59" s="1292">
        <v>3450465.0178</v>
      </c>
    </row>
    <row r="60" spans="1:6">
      <c r="A60" s="1291" t="s">
        <v>48</v>
      </c>
      <c r="B60" s="1291" t="s">
        <v>52</v>
      </c>
      <c r="C60" s="1292">
        <v>24</v>
      </c>
      <c r="D60" s="1292">
        <v>910587.06261000002</v>
      </c>
      <c r="E60" s="1292">
        <v>72</v>
      </c>
      <c r="F60" s="1292">
        <v>1705163.0554</v>
      </c>
    </row>
    <row r="61" spans="1:6">
      <c r="A61" s="1291" t="s">
        <v>48</v>
      </c>
      <c r="B61" s="1291" t="s">
        <v>53</v>
      </c>
      <c r="C61" s="1292">
        <v>48</v>
      </c>
      <c r="D61" s="1292">
        <v>1141380.3382999999</v>
      </c>
      <c r="E61" s="1292">
        <v>171</v>
      </c>
      <c r="F61" s="1292">
        <v>1441997.3724</v>
      </c>
    </row>
    <row r="62" spans="1:6">
      <c r="A62" s="1291" t="s">
        <v>48</v>
      </c>
      <c r="B62" s="1291" t="s">
        <v>54</v>
      </c>
      <c r="C62" s="1292">
        <v>3</v>
      </c>
      <c r="D62" s="1292">
        <v>149363.12122999999</v>
      </c>
      <c r="E62" s="1292">
        <v>20</v>
      </c>
      <c r="F62" s="1292">
        <v>108073.33248</v>
      </c>
    </row>
    <row r="63" spans="1:6">
      <c r="A63" s="1291" t="s">
        <v>48</v>
      </c>
      <c r="B63" s="1291" t="s">
        <v>28</v>
      </c>
      <c r="C63" s="1292">
        <v>64</v>
      </c>
      <c r="D63" s="1292">
        <v>6654915.7884999998</v>
      </c>
      <c r="E63" s="1292">
        <v>85</v>
      </c>
      <c r="F63" s="1292">
        <v>1418255.0826000001</v>
      </c>
    </row>
    <row r="64" spans="1:6">
      <c r="A64" s="1291" t="s">
        <v>55</v>
      </c>
      <c r="B64" s="1291" t="s">
        <v>56</v>
      </c>
      <c r="C64" s="1292">
        <v>0</v>
      </c>
      <c r="D64" s="1292">
        <v>0</v>
      </c>
      <c r="E64" s="1292">
        <v>0</v>
      </c>
      <c r="F64" s="1292">
        <v>0</v>
      </c>
    </row>
    <row r="65" spans="1:6">
      <c r="A65" s="1291" t="s">
        <v>55</v>
      </c>
      <c r="B65" s="1291" t="s">
        <v>28</v>
      </c>
      <c r="C65" s="1292">
        <v>0</v>
      </c>
      <c r="D65" s="1292">
        <v>0</v>
      </c>
      <c r="E65" s="1292">
        <v>1</v>
      </c>
      <c r="F65" s="1292">
        <v>98.678294612000002</v>
      </c>
    </row>
    <row r="66" spans="1:6">
      <c r="A66" s="1291" t="s">
        <v>55</v>
      </c>
      <c r="B66" s="1291" t="s">
        <v>57</v>
      </c>
      <c r="C66" s="1292">
        <v>0</v>
      </c>
      <c r="D66" s="1292">
        <v>0</v>
      </c>
      <c r="E66" s="1292">
        <v>8</v>
      </c>
      <c r="F66" s="1292">
        <v>50167.059050000003</v>
      </c>
    </row>
    <row r="67" spans="1:6">
      <c r="A67" s="1293" t="s">
        <v>55</v>
      </c>
      <c r="B67" s="1293" t="s">
        <v>58</v>
      </c>
      <c r="C67" s="1292">
        <v>0</v>
      </c>
      <c r="D67" s="1292">
        <v>0</v>
      </c>
      <c r="E67" s="1292">
        <v>0</v>
      </c>
      <c r="F67" s="1292">
        <v>0</v>
      </c>
    </row>
    <row r="68" spans="1:6">
      <c r="A68" s="1286" t="s">
        <v>55</v>
      </c>
      <c r="B68" s="1286" t="s">
        <v>59</v>
      </c>
      <c r="C68" s="1295">
        <v>0</v>
      </c>
      <c r="D68" s="1295">
        <v>0</v>
      </c>
      <c r="E68" s="1295">
        <v>4</v>
      </c>
      <c r="F68" s="1295">
        <v>25300.602726000001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101977442</v>
      </c>
      <c r="E73" s="449"/>
      <c r="F73" s="330"/>
    </row>
    <row r="74" spans="1:6">
      <c r="A74" s="1291" t="s">
        <v>63</v>
      </c>
      <c r="B74" s="1291" t="s">
        <v>664</v>
      </c>
      <c r="C74" s="1305" t="s">
        <v>666</v>
      </c>
      <c r="D74" s="1306">
        <v>5271444.4506293768</v>
      </c>
      <c r="E74" s="449"/>
      <c r="F74" s="330"/>
    </row>
    <row r="75" spans="1:6">
      <c r="A75" s="1291" t="s">
        <v>64</v>
      </c>
      <c r="B75" s="1291" t="s">
        <v>663</v>
      </c>
      <c r="C75" s="1305" t="s">
        <v>667</v>
      </c>
      <c r="D75" s="1306">
        <v>7521893</v>
      </c>
      <c r="E75" s="449"/>
      <c r="F75" s="330"/>
    </row>
    <row r="76" spans="1:6">
      <c r="A76" s="1291" t="s">
        <v>64</v>
      </c>
      <c r="B76" s="1291" t="s">
        <v>664</v>
      </c>
      <c r="C76" s="1305" t="s">
        <v>668</v>
      </c>
      <c r="D76" s="1306">
        <v>7135.4000000000005</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328881.09874124674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3993.7409177346162</v>
      </c>
      <c r="C91" s="330"/>
      <c r="D91" s="330"/>
      <c r="E91" s="330"/>
      <c r="F91" s="330"/>
    </row>
    <row r="92" spans="1:6">
      <c r="A92" s="1286" t="s">
        <v>68</v>
      </c>
      <c r="B92" s="1287">
        <v>1578.8124768875102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965</v>
      </c>
      <c r="C97" s="330"/>
      <c r="D97" s="330"/>
      <c r="E97" s="330"/>
      <c r="F97" s="330"/>
    </row>
    <row r="98" spans="1:6">
      <c r="A98" s="1291" t="s">
        <v>71</v>
      </c>
      <c r="B98" s="1292">
        <v>9</v>
      </c>
      <c r="C98" s="330"/>
      <c r="D98" s="330"/>
      <c r="E98" s="330"/>
      <c r="F98" s="330"/>
    </row>
    <row r="99" spans="1:6">
      <c r="A99" s="1291" t="s">
        <v>72</v>
      </c>
      <c r="B99" s="1292">
        <v>171</v>
      </c>
      <c r="C99" s="330"/>
      <c r="D99" s="330"/>
      <c r="E99" s="330"/>
      <c r="F99" s="330"/>
    </row>
    <row r="100" spans="1:6">
      <c r="A100" s="1291" t="s">
        <v>73</v>
      </c>
      <c r="B100" s="1292">
        <v>225</v>
      </c>
      <c r="C100" s="330"/>
      <c r="D100" s="330"/>
      <c r="E100" s="330"/>
      <c r="F100" s="330"/>
    </row>
    <row r="101" spans="1:6">
      <c r="A101" s="1291" t="s">
        <v>74</v>
      </c>
      <c r="B101" s="1292">
        <v>147</v>
      </c>
      <c r="C101" s="330"/>
      <c r="D101" s="330"/>
      <c r="E101" s="330"/>
      <c r="F101" s="330"/>
    </row>
    <row r="102" spans="1:6">
      <c r="A102" s="1291" t="s">
        <v>75</v>
      </c>
      <c r="B102" s="1292">
        <v>58</v>
      </c>
      <c r="C102" s="330"/>
      <c r="D102" s="330"/>
      <c r="E102" s="330"/>
      <c r="F102" s="330"/>
    </row>
    <row r="103" spans="1:6">
      <c r="A103" s="1291" t="s">
        <v>76</v>
      </c>
      <c r="B103" s="1292">
        <v>167</v>
      </c>
      <c r="C103" s="330"/>
      <c r="D103" s="330"/>
      <c r="E103" s="330"/>
      <c r="F103" s="330"/>
    </row>
    <row r="104" spans="1:6">
      <c r="A104" s="1291" t="s">
        <v>77</v>
      </c>
      <c r="B104" s="1292">
        <v>3520</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32</v>
      </c>
      <c r="C123" s="1292">
        <v>30</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121</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30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44712.227964069549</v>
      </c>
      <c r="C3" s="43" t="s">
        <v>169</v>
      </c>
      <c r="D3" s="43"/>
      <c r="E3" s="154"/>
      <c r="F3" s="43"/>
      <c r="G3" s="43"/>
      <c r="H3" s="43"/>
      <c r="I3" s="43"/>
      <c r="J3" s="43"/>
      <c r="K3" s="96"/>
    </row>
    <row r="4" spans="1:11">
      <c r="A4" s="358" t="s">
        <v>170</v>
      </c>
      <c r="B4" s="49">
        <f>IF(ISERROR('SEAP template'!B78+'SEAP template'!C78),0,'SEAP template'!B78+'SEAP template'!C78)</f>
        <v>25473.653394622128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1745.2800000000002</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0.13412449463862622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2493.2571428571437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26514.428571428572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9.4033976110042536E-2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913.577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913.577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0.13412449463862622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122.53305343847222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21915.695721</v>
      </c>
      <c r="C5" s="17">
        <f>IF(ISERROR('Eigen informatie GS &amp; warmtenet'!B57),0,'Eigen informatie GS &amp; warmtenet'!B57)</f>
        <v>0</v>
      </c>
      <c r="D5" s="30">
        <f>(SUM(HH_hh_gas_kWh,HH_rest_gas_kWh)/1000)*0.902</f>
        <v>29056.990393815999</v>
      </c>
      <c r="E5" s="17">
        <f>B46*B57</f>
        <v>33769.981033004049</v>
      </c>
      <c r="F5" s="17">
        <f>B51*B62</f>
        <v>50456.730064184958</v>
      </c>
      <c r="G5" s="18"/>
      <c r="H5" s="17"/>
      <c r="I5" s="17"/>
      <c r="J5" s="17">
        <f>B50*B61+C50*C61</f>
        <v>906.14026743587658</v>
      </c>
      <c r="K5" s="17"/>
      <c r="L5" s="17"/>
      <c r="M5" s="17"/>
      <c r="N5" s="17">
        <f>B48*B59+C48*C59</f>
        <v>23199.257748670261</v>
      </c>
      <c r="O5" s="17">
        <f>B69*B70*B71</f>
        <v>236.06333333333336</v>
      </c>
      <c r="P5" s="17">
        <f>B77*B78*B79/1000-B77*B78*B79/1000/B80</f>
        <v>1182.1333333333332</v>
      </c>
    </row>
    <row r="6" spans="1:16">
      <c r="A6" s="16" t="s">
        <v>623</v>
      </c>
      <c r="B6" s="762">
        <f>kWh_PV_kleiner_dan_10kW</f>
        <v>3993.7409177346162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25909.436638734616</v>
      </c>
      <c r="C8" s="21">
        <f>C5</f>
        <v>0</v>
      </c>
      <c r="D8" s="21">
        <f>D5</f>
        <v>29056.990393815999</v>
      </c>
      <c r="E8" s="21">
        <f>E5</f>
        <v>33769.981033004049</v>
      </c>
      <c r="F8" s="21">
        <f>F5</f>
        <v>50456.730064184958</v>
      </c>
      <c r="G8" s="21"/>
      <c r="H8" s="21"/>
      <c r="I8" s="21"/>
      <c r="J8" s="21">
        <f>J5</f>
        <v>906.14026743587658</v>
      </c>
      <c r="K8" s="21"/>
      <c r="L8" s="21">
        <f>L5</f>
        <v>0</v>
      </c>
      <c r="M8" s="21">
        <f>M5</f>
        <v>0</v>
      </c>
      <c r="N8" s="21">
        <f>N5</f>
        <v>23199.257748670261</v>
      </c>
      <c r="O8" s="21">
        <f>O5</f>
        <v>236.06333333333336</v>
      </c>
      <c r="P8" s="21">
        <f>P5</f>
        <v>1182.1333333333332</v>
      </c>
    </row>
    <row r="9" spans="1:16">
      <c r="B9" s="19"/>
      <c r="C9" s="19"/>
      <c r="D9" s="258"/>
      <c r="E9" s="19"/>
      <c r="F9" s="19"/>
      <c r="G9" s="19"/>
      <c r="H9" s="19"/>
      <c r="I9" s="19"/>
      <c r="J9" s="19"/>
      <c r="K9" s="19"/>
      <c r="L9" s="19"/>
      <c r="M9" s="19"/>
      <c r="N9" s="19"/>
      <c r="O9" s="19"/>
      <c r="P9" s="19"/>
    </row>
    <row r="10" spans="1:16">
      <c r="A10" s="24" t="s">
        <v>213</v>
      </c>
      <c r="B10" s="25">
        <f ca="1">'EF ele_warmte'!B12</f>
        <v>0.13412449463862622</v>
      </c>
      <c r="C10" s="25">
        <f ca="1">'EF ele_warmte'!B22</f>
        <v>9.4033976110042536E-2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3475.0900955417869</v>
      </c>
      <c r="C12" s="23">
        <f ca="1">C10*C8</f>
        <v>0</v>
      </c>
      <c r="D12" s="23">
        <f>D8*D10</f>
        <v>5869.5120595508324</v>
      </c>
      <c r="E12" s="23">
        <f>E10*E8</f>
        <v>7665.7856944919195</v>
      </c>
      <c r="F12" s="23">
        <f>F10*F8</f>
        <v>13471.946927137384</v>
      </c>
      <c r="G12" s="23"/>
      <c r="H12" s="23"/>
      <c r="I12" s="23"/>
      <c r="J12" s="23">
        <f>J10*J8</f>
        <v>320.77365467230027</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965</v>
      </c>
      <c r="C18" s="166" t="s">
        <v>110</v>
      </c>
      <c r="D18" s="228"/>
      <c r="E18" s="15"/>
    </row>
    <row r="19" spans="1:7">
      <c r="A19" s="171" t="s">
        <v>71</v>
      </c>
      <c r="B19" s="37">
        <f>aantalw2001_ander</f>
        <v>9</v>
      </c>
      <c r="C19" s="166" t="s">
        <v>110</v>
      </c>
      <c r="D19" s="229"/>
      <c r="E19" s="15"/>
    </row>
    <row r="20" spans="1:7">
      <c r="A20" s="171" t="s">
        <v>72</v>
      </c>
      <c r="B20" s="37">
        <f>aantalw2001_propaan</f>
        <v>171</v>
      </c>
      <c r="C20" s="167">
        <f>IF(ISERROR(B20/SUM($B$20,$B$21,$B$22)*100),0,B20/SUM($B$20,$B$21,$B$22)*100)</f>
        <v>31.491712707182316</v>
      </c>
      <c r="D20" s="229"/>
      <c r="E20" s="15"/>
    </row>
    <row r="21" spans="1:7">
      <c r="A21" s="171" t="s">
        <v>73</v>
      </c>
      <c r="B21" s="37">
        <f>aantalw2001_elektriciteit</f>
        <v>225</v>
      </c>
      <c r="C21" s="167">
        <f>IF(ISERROR(B21/SUM($B$20,$B$21,$B$22)*100),0,B21/SUM($B$20,$B$21,$B$22)*100)</f>
        <v>41.436464088397791</v>
      </c>
      <c r="D21" s="229"/>
      <c r="E21" s="15"/>
    </row>
    <row r="22" spans="1:7">
      <c r="A22" s="171" t="s">
        <v>74</v>
      </c>
      <c r="B22" s="37">
        <f>aantalw2001_hout</f>
        <v>147</v>
      </c>
      <c r="C22" s="167">
        <f>IF(ISERROR(B22/SUM($B$20,$B$21,$B$22)*100),0,B22/SUM($B$20,$B$21,$B$22)*100)</f>
        <v>27.071823204419886</v>
      </c>
      <c r="D22" s="229"/>
      <c r="E22" s="15"/>
    </row>
    <row r="23" spans="1:7">
      <c r="A23" s="171" t="s">
        <v>75</v>
      </c>
      <c r="B23" s="37">
        <f>aantalw2001_niet_gespec</f>
        <v>58</v>
      </c>
      <c r="C23" s="166" t="s">
        <v>110</v>
      </c>
      <c r="D23" s="228"/>
      <c r="E23" s="15"/>
    </row>
    <row r="24" spans="1:7">
      <c r="A24" s="171" t="s">
        <v>76</v>
      </c>
      <c r="B24" s="37">
        <f>aantalw2001_steenkool</f>
        <v>167</v>
      </c>
      <c r="C24" s="166" t="s">
        <v>110</v>
      </c>
      <c r="D24" s="229"/>
      <c r="E24" s="15"/>
    </row>
    <row r="25" spans="1:7">
      <c r="A25" s="171" t="s">
        <v>77</v>
      </c>
      <c r="B25" s="37">
        <f>aantalw2001_stookolie</f>
        <v>3520</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6028</v>
      </c>
      <c r="C28" s="36"/>
      <c r="D28" s="228"/>
    </row>
    <row r="29" spans="1:7" s="15" customFormat="1">
      <c r="A29" s="230" t="s">
        <v>696</v>
      </c>
      <c r="B29" s="37">
        <f>SUM(HH_hh_gas_aantal,HH_rest_gas_aantal)</f>
        <v>2126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2126</v>
      </c>
      <c r="C32" s="167">
        <f>IF(ISERROR(B32/SUM($B$32,$B$34,$B$35,$B$36,$B$38,$B$39)*100),0,B32/SUM($B$32,$B$34,$B$35,$B$36,$B$38,$B$39)*100)</f>
        <v>35.635266510224604</v>
      </c>
      <c r="D32" s="233"/>
      <c r="G32" s="15"/>
    </row>
    <row r="33" spans="1:7">
      <c r="A33" s="171" t="s">
        <v>71</v>
      </c>
      <c r="B33" s="34" t="s">
        <v>110</v>
      </c>
      <c r="C33" s="167"/>
      <c r="D33" s="233"/>
      <c r="G33" s="15"/>
    </row>
    <row r="34" spans="1:7">
      <c r="A34" s="171" t="s">
        <v>72</v>
      </c>
      <c r="B34" s="33">
        <f>IF((($B$28-$B$32-$B$39-$B$77-$B$38)*C20/100)&lt;0,0,($B$28-$B$32-$B$39-$B$77-$B$38)*C20/100)</f>
        <v>413.80110497237564</v>
      </c>
      <c r="C34" s="167">
        <f>IF(ISERROR(B34/SUM($B$32,$B$34,$B$35,$B$36,$B$38,$B$39)*100),0,B34/SUM($B$32,$B$34,$B$35,$B$36,$B$38,$B$39)*100)</f>
        <v>6.9359890206566481</v>
      </c>
      <c r="D34" s="233"/>
      <c r="G34" s="15"/>
    </row>
    <row r="35" spans="1:7">
      <c r="A35" s="171" t="s">
        <v>73</v>
      </c>
      <c r="B35" s="33">
        <f>IF((($B$28-$B$32-$B$39-$B$77-$B$38)*C21/100)&lt;0,0,($B$28-$B$32-$B$39-$B$77-$B$38)*C21/100)</f>
        <v>544.47513812154693</v>
      </c>
      <c r="C35" s="167">
        <f>IF(ISERROR(B35/SUM($B$32,$B$34,$B$35,$B$36,$B$38,$B$39)*100),0,B35/SUM($B$32,$B$34,$B$35,$B$36,$B$38,$B$39)*100)</f>
        <v>9.1263013429692741</v>
      </c>
      <c r="D35" s="233"/>
      <c r="G35" s="15"/>
    </row>
    <row r="36" spans="1:7">
      <c r="A36" s="171" t="s">
        <v>74</v>
      </c>
      <c r="B36" s="33">
        <f>IF((($B$28-$B$32-$B$39-$B$77-$B$38)*C22/100)&lt;0,0,($B$28-$B$32-$B$39-$B$77-$B$38)*C22/100)</f>
        <v>355.72375690607731</v>
      </c>
      <c r="C36" s="167">
        <f>IF(ISERROR(B36/SUM($B$32,$B$34,$B$35,$B$36,$B$38,$B$39)*100),0,B36/SUM($B$32,$B$34,$B$35,$B$36,$B$38,$B$39)*100)</f>
        <v>5.9625168774065926</v>
      </c>
      <c r="D36" s="233"/>
      <c r="G36" s="15"/>
    </row>
    <row r="37" spans="1:7">
      <c r="A37" s="171" t="s">
        <v>75</v>
      </c>
      <c r="B37" s="34" t="s">
        <v>110</v>
      </c>
      <c r="C37" s="167"/>
      <c r="D37" s="173"/>
      <c r="G37" s="15"/>
    </row>
    <row r="38" spans="1:7">
      <c r="A38" s="171" t="s">
        <v>76</v>
      </c>
      <c r="B38" s="33">
        <f>IF((B24-(B29-B18)*0.1)&lt;0,0,B24-(B29-B18)*0.1)</f>
        <v>50.899999999999991</v>
      </c>
      <c r="C38" s="167">
        <f>IF(ISERROR(B38/SUM($B$32,$B$34,$B$35,$B$36,$B$38,$B$39)*100),0,B38/SUM($B$32,$B$34,$B$35,$B$36,$B$38,$B$39)*100)</f>
        <v>0.85316795172644977</v>
      </c>
      <c r="D38" s="234"/>
      <c r="G38" s="15"/>
    </row>
    <row r="39" spans="1:7">
      <c r="A39" s="171" t="s">
        <v>77</v>
      </c>
      <c r="B39" s="33">
        <f>IF((B25-(B29-B18))&lt;0,0,B25-(B29-B18)*0.9)</f>
        <v>2475.1</v>
      </c>
      <c r="C39" s="167">
        <f>IF(ISERROR(B39/SUM($B$32,$B$34,$B$35,$B$36,$B$38,$B$39)*100),0,B39/SUM($B$32,$B$34,$B$35,$B$36,$B$38,$B$39)*100)</f>
        <v>41.486758297016422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2126</v>
      </c>
      <c r="C44" s="34" t="s">
        <v>110</v>
      </c>
      <c r="D44" s="174"/>
    </row>
    <row r="45" spans="1:7">
      <c r="A45" s="171" t="s">
        <v>71</v>
      </c>
      <c r="B45" s="33" t="str">
        <f t="shared" si="0"/>
        <v>-</v>
      </c>
      <c r="C45" s="34" t="s">
        <v>110</v>
      </c>
      <c r="D45" s="174"/>
    </row>
    <row r="46" spans="1:7">
      <c r="A46" s="171" t="s">
        <v>72</v>
      </c>
      <c r="B46" s="33">
        <f t="shared" si="0"/>
        <v>413.80110497237564</v>
      </c>
      <c r="C46" s="34" t="s">
        <v>110</v>
      </c>
      <c r="D46" s="174"/>
    </row>
    <row r="47" spans="1:7">
      <c r="A47" s="171" t="s">
        <v>73</v>
      </c>
      <c r="B47" s="33">
        <f t="shared" si="0"/>
        <v>544.47513812154693</v>
      </c>
      <c r="C47" s="34" t="s">
        <v>110</v>
      </c>
      <c r="D47" s="174"/>
    </row>
    <row r="48" spans="1:7">
      <c r="A48" s="171" t="s">
        <v>74</v>
      </c>
      <c r="B48" s="33">
        <f t="shared" si="0"/>
        <v>355.72375690607731</v>
      </c>
      <c r="C48" s="33">
        <f>B48*10</f>
        <v>3557.2375690607732</v>
      </c>
      <c r="D48" s="234"/>
    </row>
    <row r="49" spans="1:6">
      <c r="A49" s="171" t="s">
        <v>75</v>
      </c>
      <c r="B49" s="33" t="str">
        <f t="shared" si="0"/>
        <v>-</v>
      </c>
      <c r="C49" s="34" t="s">
        <v>110</v>
      </c>
      <c r="D49" s="234"/>
    </row>
    <row r="50" spans="1:6">
      <c r="A50" s="171" t="s">
        <v>76</v>
      </c>
      <c r="B50" s="33">
        <f t="shared" si="0"/>
        <v>50.899999999999991</v>
      </c>
      <c r="C50" s="33">
        <f>B50*2</f>
        <v>101.79999999999998</v>
      </c>
      <c r="D50" s="234"/>
    </row>
    <row r="51" spans="1:6">
      <c r="A51" s="171" t="s">
        <v>77</v>
      </c>
      <c r="B51" s="33">
        <f t="shared" si="0"/>
        <v>2475.1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9556.3371098900006</v>
      </c>
      <c r="C5" s="17">
        <f>IF(ISERROR('Eigen informatie GS &amp; warmtenet'!B58),0,'Eigen informatie GS &amp; warmtenet'!B58)</f>
        <v>0</v>
      </c>
      <c r="D5" s="30">
        <f>SUM(D6:D12)</f>
        <v>9665.682491678861</v>
      </c>
      <c r="E5" s="17">
        <f>SUM(E6:E12)</f>
        <v>211.24657271820573</v>
      </c>
      <c r="F5" s="17">
        <f>SUM(F6:F12)</f>
        <v>2506.6022430954231</v>
      </c>
      <c r="G5" s="18"/>
      <c r="H5" s="17"/>
      <c r="I5" s="17"/>
      <c r="J5" s="17">
        <f>SUM(J6:J12)</f>
        <v>0</v>
      </c>
      <c r="K5" s="17"/>
      <c r="L5" s="17"/>
      <c r="M5" s="17"/>
      <c r="N5" s="17">
        <f>SUM(N6:N12)</f>
        <v>1103.1076866437168</v>
      </c>
      <c r="O5" s="17">
        <f>B38*B39*B40</f>
        <v>1.5633333333333335</v>
      </c>
      <c r="P5" s="17">
        <f>B46*B47*B48/1000-B46*B47*B48/1000/B49</f>
        <v>19.066666666666666</v>
      </c>
      <c r="R5" s="32"/>
    </row>
    <row r="6" spans="1:18">
      <c r="A6" s="32" t="s">
        <v>53</v>
      </c>
      <c r="B6" s="37">
        <f>B26</f>
        <v>1441.9973723999999</v>
      </c>
      <c r="C6" s="33"/>
      <c r="D6" s="37">
        <f>IF(ISERROR(TER_kantoor_gas_kWh/1000),0,TER_kantoor_gas_kWh/1000)*0.902</f>
        <v>1029.5250651465999</v>
      </c>
      <c r="E6" s="33">
        <f>$C$26*'E Balans VL '!I12/100/3.6*1000000</f>
        <v>18.877521887910582</v>
      </c>
      <c r="F6" s="33">
        <f>$C$26*('E Balans VL '!L12+'E Balans VL '!N12)/100/3.6*1000000</f>
        <v>367.69442891778067</v>
      </c>
      <c r="G6" s="34"/>
      <c r="H6" s="33"/>
      <c r="I6" s="33"/>
      <c r="J6" s="33">
        <f>$C$26*('E Balans VL '!D12+'E Balans VL '!E12)/100/3.6*1000000</f>
        <v>0</v>
      </c>
      <c r="K6" s="33"/>
      <c r="L6" s="33"/>
      <c r="M6" s="33"/>
      <c r="N6" s="33">
        <f>$C$26*'E Balans VL '!Y12/100/3.6*1000000</f>
        <v>1.4468532213141267</v>
      </c>
      <c r="O6" s="33"/>
      <c r="P6" s="33"/>
      <c r="R6" s="32"/>
    </row>
    <row r="7" spans="1:18">
      <c r="A7" s="32" t="s">
        <v>52</v>
      </c>
      <c r="B7" s="37">
        <f t="shared" ref="B7:B12" si="0">B27</f>
        <v>1705.1630553999998</v>
      </c>
      <c r="C7" s="33"/>
      <c r="D7" s="37">
        <f>IF(ISERROR(TER_horeca_gas_kWh/1000),0,TER_horeca_gas_kWh/1000)*0.902</f>
        <v>821.34953047422005</v>
      </c>
      <c r="E7" s="33">
        <f>$C$27*'E Balans VL '!I9/100/3.6*1000000</f>
        <v>56.430524974817835</v>
      </c>
      <c r="F7" s="33">
        <f>$C$27*('E Balans VL '!L9+'E Balans VL '!N9)/100/3.6*1000000</f>
        <v>733.21357884560143</v>
      </c>
      <c r="G7" s="34"/>
      <c r="H7" s="33"/>
      <c r="I7" s="33"/>
      <c r="J7" s="33">
        <f>$C$27*('E Balans VL '!D9+'E Balans VL '!E9)/100/3.6*1000000</f>
        <v>0</v>
      </c>
      <c r="K7" s="33"/>
      <c r="L7" s="33"/>
      <c r="M7" s="33"/>
      <c r="N7" s="33">
        <f>$C$27*'E Balans VL '!Y9/100/3.6*1000000</f>
        <v>0.41045750911971357</v>
      </c>
      <c r="O7" s="33"/>
      <c r="P7" s="33"/>
      <c r="R7" s="32"/>
    </row>
    <row r="8" spans="1:18">
      <c r="A8" s="6" t="s">
        <v>51</v>
      </c>
      <c r="B8" s="37">
        <f t="shared" si="0"/>
        <v>3450.4650178000002</v>
      </c>
      <c r="C8" s="33"/>
      <c r="D8" s="37">
        <f>IF(ISERROR(TER_handel_gas_kWh/1000),0,TER_handel_gas_kWh/1000)*0.902</f>
        <v>987.92317872600006</v>
      </c>
      <c r="E8" s="33">
        <f>$C$28*'E Balans VL '!I13/100/3.6*1000000</f>
        <v>108.9019481153812</v>
      </c>
      <c r="F8" s="33">
        <f>$C$28*('E Balans VL '!L13+'E Balans VL '!N13)/100/3.6*1000000</f>
        <v>676.69694890729545</v>
      </c>
      <c r="G8" s="34"/>
      <c r="H8" s="33"/>
      <c r="I8" s="33"/>
      <c r="J8" s="33">
        <f>$C$28*('E Balans VL '!D13+'E Balans VL '!E13)/100/3.6*1000000</f>
        <v>0</v>
      </c>
      <c r="K8" s="33"/>
      <c r="L8" s="33"/>
      <c r="M8" s="33"/>
      <c r="N8" s="33">
        <f>$C$28*'E Balans VL '!Y13/100/3.6*1000000</f>
        <v>4.0950320765693942</v>
      </c>
      <c r="O8" s="33"/>
      <c r="P8" s="33"/>
      <c r="R8" s="32"/>
    </row>
    <row r="9" spans="1:18">
      <c r="A9" s="32" t="s">
        <v>50</v>
      </c>
      <c r="B9" s="37">
        <f t="shared" si="0"/>
        <v>202.24859581000001</v>
      </c>
      <c r="C9" s="33"/>
      <c r="D9" s="37">
        <f>IF(ISERROR(TER_gezond_gas_kWh/1000),0,TER_gezond_gas_kWh/1000)*0.902</f>
        <v>73.343195704702012</v>
      </c>
      <c r="E9" s="33">
        <f>$C$29*'E Balans VL '!I10/100/3.6*1000000</f>
        <v>2.5893736915071016E-2</v>
      </c>
      <c r="F9" s="33">
        <f>$C$29*('E Balans VL '!L10+'E Balans VL '!N10)/100/3.6*1000000</f>
        <v>42.136859522735769</v>
      </c>
      <c r="G9" s="34"/>
      <c r="H9" s="33"/>
      <c r="I9" s="33"/>
      <c r="J9" s="33">
        <f>$C$29*('E Balans VL '!D10+'E Balans VL '!E10)/100/3.6*1000000</f>
        <v>0</v>
      </c>
      <c r="K9" s="33"/>
      <c r="L9" s="33"/>
      <c r="M9" s="33"/>
      <c r="N9" s="33">
        <f>$C$29*'E Balans VL '!Y10/100/3.6*1000000</f>
        <v>2.3755053530423385</v>
      </c>
      <c r="O9" s="33"/>
      <c r="P9" s="33"/>
      <c r="R9" s="32"/>
    </row>
    <row r="10" spans="1:18">
      <c r="A10" s="32" t="s">
        <v>49</v>
      </c>
      <c r="B10" s="37">
        <f t="shared" si="0"/>
        <v>1230.1346533999999</v>
      </c>
      <c r="C10" s="33"/>
      <c r="D10" s="37">
        <f>IF(ISERROR(TER_ander_gas_kWh/1000),0,TER_ander_gas_kWh/1000)*0.902</f>
        <v>616.08194505087999</v>
      </c>
      <c r="E10" s="33">
        <f>$C$30*'E Balans VL '!I14/100/3.6*1000000</f>
        <v>1.849833233374611</v>
      </c>
      <c r="F10" s="33">
        <f>$C$30*('E Balans VL '!L14+'E Balans VL '!N14)/100/3.6*1000000</f>
        <v>271.57407857592722</v>
      </c>
      <c r="G10" s="34"/>
      <c r="H10" s="33"/>
      <c r="I10" s="33"/>
      <c r="J10" s="33">
        <f>$C$30*('E Balans VL '!D14+'E Balans VL '!E14)/100/3.6*1000000</f>
        <v>0</v>
      </c>
      <c r="K10" s="33"/>
      <c r="L10" s="33"/>
      <c r="M10" s="33"/>
      <c r="N10" s="33">
        <f>$C$30*'E Balans VL '!Y14/100/3.6*1000000</f>
        <v>969.42889182007048</v>
      </c>
      <c r="O10" s="33"/>
      <c r="P10" s="33"/>
      <c r="R10" s="32"/>
    </row>
    <row r="11" spans="1:18">
      <c r="A11" s="32" t="s">
        <v>54</v>
      </c>
      <c r="B11" s="37">
        <f t="shared" si="0"/>
        <v>108.07333247999999</v>
      </c>
      <c r="C11" s="33"/>
      <c r="D11" s="37">
        <f>IF(ISERROR(TER_onderwijs_gas_kWh/1000),0,TER_onderwijs_gas_kWh/1000)*0.902</f>
        <v>134.72553534945999</v>
      </c>
      <c r="E11" s="33">
        <f>$C$31*'E Balans VL '!I11/100/3.6*1000000</f>
        <v>0.19032619501123668</v>
      </c>
      <c r="F11" s="33">
        <f>$C$31*('E Balans VL '!L11+'E Balans VL '!N11)/100/3.6*1000000</f>
        <v>49.899413189732819</v>
      </c>
      <c r="G11" s="34"/>
      <c r="H11" s="33"/>
      <c r="I11" s="33"/>
      <c r="J11" s="33">
        <f>$C$31*('E Balans VL '!D11+'E Balans VL '!E11)/100/3.6*1000000</f>
        <v>0</v>
      </c>
      <c r="K11" s="33"/>
      <c r="L11" s="33"/>
      <c r="M11" s="33"/>
      <c r="N11" s="33">
        <f>$C$31*'E Balans VL '!Y11/100/3.6*1000000</f>
        <v>0.20134211293243937</v>
      </c>
      <c r="O11" s="33"/>
      <c r="P11" s="33"/>
      <c r="R11" s="32"/>
    </row>
    <row r="12" spans="1:18">
      <c r="A12" s="32" t="s">
        <v>259</v>
      </c>
      <c r="B12" s="37">
        <f t="shared" si="0"/>
        <v>1418.2550826000002</v>
      </c>
      <c r="C12" s="33"/>
      <c r="D12" s="37">
        <f>IF(ISERROR(TER_rest_gas_kWh/1000),0,TER_rest_gas_kWh/1000)*0.902</f>
        <v>6002.7340412269996</v>
      </c>
      <c r="E12" s="33">
        <f>$C$32*'E Balans VL '!I8/100/3.6*1000000</f>
        <v>24.970524574795167</v>
      </c>
      <c r="F12" s="33">
        <f>$C$32*('E Balans VL '!L8+'E Balans VL '!N8)/100/3.6*1000000</f>
        <v>365.38693513634968</v>
      </c>
      <c r="G12" s="34"/>
      <c r="H12" s="33"/>
      <c r="I12" s="33"/>
      <c r="J12" s="33">
        <f>$C$32*('E Balans VL '!D8+'E Balans VL '!E8)/100/3.6*1000000</f>
        <v>0</v>
      </c>
      <c r="K12" s="33"/>
      <c r="L12" s="33"/>
      <c r="M12" s="33"/>
      <c r="N12" s="33">
        <f>$C$32*'E Balans VL '!Y8/100/3.6*1000000</f>
        <v>125.14960455066817</v>
      </c>
      <c r="O12" s="33"/>
      <c r="P12" s="33"/>
      <c r="R12" s="32"/>
    </row>
    <row r="13" spans="1:18">
      <c r="A13" s="16" t="s">
        <v>490</v>
      </c>
      <c r="B13" s="247">
        <f ca="1">'lokale energieproductie'!N41+'lokale energieproductie'!N34</f>
        <v>1656</v>
      </c>
      <c r="C13" s="247">
        <f ca="1">'lokale energieproductie'!O41+'lokale energieproductie'!O34</f>
        <v>450.00000000000011</v>
      </c>
      <c r="D13" s="308">
        <f ca="1">('lokale energieproductie'!P34+'lokale energieproductie'!P41)*(-1)</f>
        <v>-900.00000000000023</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-3831.4285714285716</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11212.337109890001</v>
      </c>
      <c r="C16" s="21">
        <f t="shared" ca="1" si="1"/>
        <v>450.00000000000011</v>
      </c>
      <c r="D16" s="21">
        <f t="shared" ca="1" si="1"/>
        <v>8765.682491678861</v>
      </c>
      <c r="E16" s="21">
        <f t="shared" si="1"/>
        <v>211.24657271820573</v>
      </c>
      <c r="F16" s="21">
        <f t="shared" ca="1" si="1"/>
        <v>2506.6022430954231</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0.13412449463862622</v>
      </c>
      <c r="C18" s="25">
        <f ca="1">'EF ele_warmte'!B22</f>
        <v>9.4033976110042536E-2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1503.8490485819111</v>
      </c>
      <c r="C20" s="23">
        <f t="shared" ref="C20:P20" ca="1" si="2">C16*C18</f>
        <v>42.315289249519154</v>
      </c>
      <c r="D20" s="23">
        <f t="shared" ca="1" si="2"/>
        <v>1770.66786331913</v>
      </c>
      <c r="E20" s="23">
        <f t="shared" si="2"/>
        <v>47.952972007032699</v>
      </c>
      <c r="F20" s="23">
        <f t="shared" ca="1" si="2"/>
        <v>669.262798906478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1441.9973723999999</v>
      </c>
      <c r="C26" s="39">
        <f>IF(ISERROR(B26*3.6/1000000/'E Balans VL '!Z12*100),0,B26*3.6/1000000/'E Balans VL '!Z12*100)</f>
        <v>3.0888703960944834E-2</v>
      </c>
      <c r="D26" s="237" t="s">
        <v>659</v>
      </c>
      <c r="F26" s="6"/>
    </row>
    <row r="27" spans="1:18">
      <c r="A27" s="231" t="s">
        <v>52</v>
      </c>
      <c r="B27" s="33">
        <f>IF(ISERROR(TER_horeca_ele_kWh/1000),0,TER_horeca_ele_kWh/1000)</f>
        <v>1705.1630553999998</v>
      </c>
      <c r="C27" s="39">
        <f>IF(ISERROR(B27*3.6/1000000/'E Balans VL '!Z9*100),0,B27*3.6/1000000/'E Balans VL '!Z9*100)</f>
        <v>0.13683340810956818</v>
      </c>
      <c r="D27" s="237" t="s">
        <v>659</v>
      </c>
      <c r="F27" s="6"/>
    </row>
    <row r="28" spans="1:18">
      <c r="A28" s="171" t="s">
        <v>51</v>
      </c>
      <c r="B28" s="33">
        <f>IF(ISERROR(TER_handel_ele_kWh/1000),0,TER_handel_ele_kWh/1000)</f>
        <v>3450.4650178000002</v>
      </c>
      <c r="C28" s="39">
        <f>IF(ISERROR(B28*3.6/1000000/'E Balans VL '!Z13*100),0,B28*3.6/1000000/'E Balans VL '!Z13*100)</f>
        <v>0.10176892694715989</v>
      </c>
      <c r="D28" s="237" t="s">
        <v>659</v>
      </c>
      <c r="F28" s="6"/>
    </row>
    <row r="29" spans="1:18">
      <c r="A29" s="231" t="s">
        <v>50</v>
      </c>
      <c r="B29" s="33">
        <f>IF(ISERROR(TER_gezond_ele_kWh/1000),0,TER_gezond_ele_kWh/1000)</f>
        <v>202.24859581000001</v>
      </c>
      <c r="C29" s="39">
        <f>IF(ISERROR(B29*3.6/1000000/'E Balans VL '!Z10*100),0,B29*3.6/1000000/'E Balans VL '!Z10*100)</f>
        <v>2.15947275443127E-2</v>
      </c>
      <c r="D29" s="237" t="s">
        <v>659</v>
      </c>
      <c r="F29" s="6"/>
    </row>
    <row r="30" spans="1:18">
      <c r="A30" s="231" t="s">
        <v>49</v>
      </c>
      <c r="B30" s="33">
        <f>IF(ISERROR(TER_ander_ele_kWh/1000),0,TER_ander_ele_kWh/1000)</f>
        <v>1230.1346533999999</v>
      </c>
      <c r="C30" s="39">
        <f>IF(ISERROR(B30*3.6/1000000/'E Balans VL '!Z14*100),0,B30*3.6/1000000/'E Balans VL '!Z14*100)</f>
        <v>9.2916900915237799E-2</v>
      </c>
      <c r="D30" s="237" t="s">
        <v>659</v>
      </c>
      <c r="F30" s="6"/>
    </row>
    <row r="31" spans="1:18">
      <c r="A31" s="231" t="s">
        <v>54</v>
      </c>
      <c r="B31" s="33">
        <f>IF(ISERROR(TER_onderwijs_ele_kWh/1000),0,TER_onderwijs_ele_kWh/1000)</f>
        <v>108.07333247999999</v>
      </c>
      <c r="C31" s="39">
        <f>IF(ISERROR(B31*3.6/1000000/'E Balans VL '!Z11*100),0,B31*3.6/1000000/'E Balans VL '!Z11*100)</f>
        <v>2.182361359426534E-2</v>
      </c>
      <c r="D31" s="237" t="s">
        <v>659</v>
      </c>
    </row>
    <row r="32" spans="1:18">
      <c r="A32" s="231" t="s">
        <v>259</v>
      </c>
      <c r="B32" s="33">
        <f>IF(ISERROR(TER_rest_ele_kWh/1000),0,TER_rest_ele_kWh/1000)</f>
        <v>1418.2550826000002</v>
      </c>
      <c r="C32" s="39">
        <f>IF(ISERROR(B32*3.6/1000000/'E Balans VL '!Z8*100),0,B32*3.6/1000000/'E Balans VL '!Z8*100)</f>
        <v>1.1759309540709313E-2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4470.6245530942997</v>
      </c>
      <c r="C5" s="17">
        <f>IF(ISERROR('Eigen informatie GS &amp; warmtenet'!B59),0,'Eigen informatie GS &amp; warmtenet'!B59)</f>
        <v>0</v>
      </c>
      <c r="D5" s="30">
        <f>SUM(D6:D15)</f>
        <v>6936.8723025150575</v>
      </c>
      <c r="E5" s="17">
        <f>SUM(E6:E15)</f>
        <v>316.64338566390597</v>
      </c>
      <c r="F5" s="17">
        <f>SUM(F6:F15)</f>
        <v>1570.6417408442001</v>
      </c>
      <c r="G5" s="18"/>
      <c r="H5" s="17"/>
      <c r="I5" s="17"/>
      <c r="J5" s="17">
        <f>SUM(J6:J15)</f>
        <v>2.380405777400048</v>
      </c>
      <c r="K5" s="17"/>
      <c r="L5" s="17"/>
      <c r="M5" s="17"/>
      <c r="N5" s="17">
        <f>SUM(N6:N15)</f>
        <v>1320.4459882541323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103.03895186</v>
      </c>
      <c r="C8" s="33"/>
      <c r="D8" s="37">
        <f>IF( ISERROR(IND_metaal_Gas_kWH/1000),0,IND_metaal_Gas_kWH/1000)*0.902</f>
        <v>64.614381768376006</v>
      </c>
      <c r="E8" s="33">
        <f>C30*'E Balans VL '!I18/100/3.6*1000000</f>
        <v>3.7076532018826445</v>
      </c>
      <c r="F8" s="33">
        <f>C30*'E Balans VL '!L18/100/3.6*1000000+C30*'E Balans VL '!N18/100/3.6*1000000</f>
        <v>44.993770113810456</v>
      </c>
      <c r="G8" s="34"/>
      <c r="H8" s="33"/>
      <c r="I8" s="33"/>
      <c r="J8" s="40">
        <f>C30*'E Balans VL '!D18/100/3.6*1000000+C30*'E Balans VL '!E18/100/3.6*1000000</f>
        <v>0</v>
      </c>
      <c r="K8" s="33"/>
      <c r="L8" s="33"/>
      <c r="M8" s="33"/>
      <c r="N8" s="33">
        <f>C30*'E Balans VL '!Y18/100/3.6*1000000</f>
        <v>5.1642422448358669</v>
      </c>
      <c r="O8" s="33"/>
      <c r="P8" s="33"/>
      <c r="R8" s="32"/>
    </row>
    <row r="9" spans="1:18">
      <c r="A9" s="6" t="s">
        <v>32</v>
      </c>
      <c r="B9" s="37">
        <f t="shared" si="0"/>
        <v>852.47296490999997</v>
      </c>
      <c r="C9" s="33"/>
      <c r="D9" s="37">
        <f>IF( ISERROR(IND_andere_gas_kWh/1000),0,IND_andere_gas_kWh/1000)*0.902</f>
        <v>429.37292915110004</v>
      </c>
      <c r="E9" s="33">
        <f>C31*'E Balans VL '!I19/100/3.6*1000000</f>
        <v>217.53181290397131</v>
      </c>
      <c r="F9" s="33">
        <f>C31*'E Balans VL '!L19/100/3.6*1000000+C31*'E Balans VL '!N19/100/3.6*1000000</f>
        <v>733.91514842847027</v>
      </c>
      <c r="G9" s="34"/>
      <c r="H9" s="33"/>
      <c r="I9" s="33"/>
      <c r="J9" s="40">
        <f>C31*'E Balans VL '!D19/100/3.6*1000000+C31*'E Balans VL '!E19/100/3.6*1000000</f>
        <v>0</v>
      </c>
      <c r="K9" s="33"/>
      <c r="L9" s="33"/>
      <c r="M9" s="33"/>
      <c r="N9" s="33">
        <f>C31*'E Balans VL '!Y19/100/3.6*1000000</f>
        <v>67.250141534610066</v>
      </c>
      <c r="O9" s="33"/>
      <c r="P9" s="33"/>
      <c r="R9" s="32"/>
    </row>
    <row r="10" spans="1:18">
      <c r="A10" s="6" t="s">
        <v>40</v>
      </c>
      <c r="B10" s="37">
        <f t="shared" si="0"/>
        <v>3289.3869136999997</v>
      </c>
      <c r="C10" s="33"/>
      <c r="D10" s="37">
        <f>IF( ISERROR(IND_voed_gas_kWh/1000),0,IND_voed_gas_kWh/1000)*0.902</f>
        <v>618.79385220378003</v>
      </c>
      <c r="E10" s="33">
        <f>C32*'E Balans VL '!I20/100/3.6*1000000</f>
        <v>83.620732044622287</v>
      </c>
      <c r="F10" s="33">
        <f>C32*'E Balans VL '!L20/100/3.6*1000000+C32*'E Balans VL '!N20/100/3.6*1000000</f>
        <v>744.33888061437744</v>
      </c>
      <c r="G10" s="34"/>
      <c r="H10" s="33"/>
      <c r="I10" s="33"/>
      <c r="J10" s="40">
        <f>C32*'E Balans VL '!D20/100/3.6*1000000+C32*'E Balans VL '!E20/100/3.6*1000000</f>
        <v>0</v>
      </c>
      <c r="K10" s="33"/>
      <c r="L10" s="33"/>
      <c r="M10" s="33"/>
      <c r="N10" s="33">
        <f>C32*'E Balans VL '!Y20/100/3.6*1000000</f>
        <v>1233.6092549768766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9.3549555942999998</v>
      </c>
      <c r="C13" s="33"/>
      <c r="D13" s="37">
        <f>IF( ISERROR(IND_papier_gas_kWh/1000),0,IND_papier_gas_kWh/1000)*0.902</f>
        <v>0</v>
      </c>
      <c r="E13" s="33">
        <f>C35*'E Balans VL '!I23/100/3.6*1000000</f>
        <v>4.0120683021005792E-2</v>
      </c>
      <c r="F13" s="33">
        <f>C35*'E Balans VL '!L23/100/3.6*1000000+C35*'E Balans VL '!N23/100/3.6*1000000</f>
        <v>0.23511907001849489</v>
      </c>
      <c r="G13" s="34"/>
      <c r="H13" s="33"/>
      <c r="I13" s="33"/>
      <c r="J13" s="40">
        <f>C35*'E Balans VL '!D23/100/3.6*1000000+C35*'E Balans VL '!E23/100/3.6*1000000</f>
        <v>0.62626296721762875</v>
      </c>
      <c r="K13" s="33"/>
      <c r="L13" s="33"/>
      <c r="M13" s="33"/>
      <c r="N13" s="33">
        <f>C35*'E Balans VL '!Y23/100/3.6*1000000</f>
        <v>2.2813336247786165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216.37076703</v>
      </c>
      <c r="C15" s="33"/>
      <c r="D15" s="37">
        <f>IF( ISERROR(IND_rest_gas_kWh/1000),0,IND_rest_gas_kWh/1000)*0.902</f>
        <v>5824.0911393918013</v>
      </c>
      <c r="E15" s="33">
        <f>C37*'E Balans VL '!I15/100/3.6*1000000</f>
        <v>11.743066830408731</v>
      </c>
      <c r="F15" s="33">
        <f>C37*'E Balans VL '!L15/100/3.6*1000000+C37*'E Balans VL '!N15/100/3.6*1000000</f>
        <v>47.158822617523377</v>
      </c>
      <c r="G15" s="34"/>
      <c r="H15" s="33"/>
      <c r="I15" s="33"/>
      <c r="J15" s="40">
        <f>C37*'E Balans VL '!D15/100/3.6*1000000+C37*'E Balans VL '!E15/100/3.6*1000000</f>
        <v>1.7541428101824195</v>
      </c>
      <c r="K15" s="33"/>
      <c r="L15" s="33"/>
      <c r="M15" s="33"/>
      <c r="N15" s="33">
        <f>C37*'E Balans VL '!Y15/100/3.6*1000000</f>
        <v>12.141015873031108</v>
      </c>
      <c r="O15" s="33"/>
      <c r="P15" s="33"/>
      <c r="R15" s="32"/>
    </row>
    <row r="16" spans="1:18">
      <c r="A16" s="16" t="s">
        <v>490</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4470.6245530942997</v>
      </c>
      <c r="C18" s="21">
        <f>C5+C16</f>
        <v>0</v>
      </c>
      <c r="D18" s="21">
        <f>MAX((D5+D16),0)</f>
        <v>6936.8723025150575</v>
      </c>
      <c r="E18" s="21">
        <f>MAX((E5+E16),0)</f>
        <v>316.64338566390597</v>
      </c>
      <c r="F18" s="21">
        <f>MAX((F5+F16),0)</f>
        <v>1570.6417408442001</v>
      </c>
      <c r="G18" s="21"/>
      <c r="H18" s="21"/>
      <c r="I18" s="21"/>
      <c r="J18" s="21">
        <f>MAX((J5+J16),0)</f>
        <v>2.380405777400048</v>
      </c>
      <c r="K18" s="21"/>
      <c r="L18" s="21">
        <f>MAX((L5+L16),0)</f>
        <v>0</v>
      </c>
      <c r="M18" s="21"/>
      <c r="N18" s="21">
        <f>MAX((N5+N16),0)</f>
        <v>1320.4459882541323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0.13412449463862622</v>
      </c>
      <c r="C20" s="25">
        <f ca="1">'EF ele_warmte'!B22</f>
        <v>9.4033976110042536E-2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599.62025890280711</v>
      </c>
      <c r="C22" s="23">
        <f ca="1">C18*C20</f>
        <v>0</v>
      </c>
      <c r="D22" s="23">
        <f>D18*D20</f>
        <v>1401.2482051080417</v>
      </c>
      <c r="E22" s="23">
        <f>E18*E20</f>
        <v>71.878048545706662</v>
      </c>
      <c r="F22" s="23">
        <f>F18*F20</f>
        <v>419.36134480540142</v>
      </c>
      <c r="G22" s="23"/>
      <c r="H22" s="23"/>
      <c r="I22" s="23"/>
      <c r="J22" s="23">
        <f>J18*J20</f>
        <v>0.8426636451996169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103.03895186</v>
      </c>
      <c r="C30" s="39">
        <f>IF(ISERROR(B30*3.6/1000000/'E Balans VL '!Z18*100),0,B30*3.6/1000000/'E Balans VL '!Z18*100)</f>
        <v>2.1831744802228069E-2</v>
      </c>
      <c r="D30" s="237" t="s">
        <v>659</v>
      </c>
    </row>
    <row r="31" spans="1:18">
      <c r="A31" s="6" t="s">
        <v>32</v>
      </c>
      <c r="B31" s="37">
        <f>IF( ISERROR(IND_ander_ele_kWh/1000),0,IND_ander_ele_kWh/1000)</f>
        <v>852.47296490999997</v>
      </c>
      <c r="C31" s="39">
        <f>IF(ISERROR(B31*3.6/1000000/'E Balans VL '!Z19*100),0,B31*3.6/1000000/'E Balans VL '!Z19*100)</f>
        <v>3.5882522773702873E-2</v>
      </c>
      <c r="D31" s="237" t="s">
        <v>659</v>
      </c>
    </row>
    <row r="32" spans="1:18">
      <c r="A32" s="171" t="s">
        <v>40</v>
      </c>
      <c r="B32" s="37">
        <f>IF( ISERROR(IND_voed_ele_kWh/1000),0,IND_voed_ele_kWh/1000)</f>
        <v>3289.3869136999997</v>
      </c>
      <c r="C32" s="39">
        <f>IF(ISERROR(B32*3.6/1000000/'E Balans VL '!Z20*100),0,B32*3.6/1000000/'E Balans VL '!Z20*100)</f>
        <v>0.54952930078686202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9.3549555942999998</v>
      </c>
      <c r="C35" s="39">
        <f>IF(ISERROR(B35*3.6/1000000/'E Balans VL '!Z22*100),0,B35*3.6/1000000/'E Balans VL '!Z22*100)</f>
        <v>1.1857910727040392E-3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216.37076703</v>
      </c>
      <c r="C37" s="39">
        <f>IF(ISERROR(B37*3.6/1000000/'E Balans VL '!Z15*100),0,B37*3.6/1000000/'E Balans VL '!Z15*100)</f>
        <v>1.7468449848342545E-3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1291.8593822649998</v>
      </c>
      <c r="C5" s="17">
        <f>'Eigen informatie GS &amp; warmtenet'!B60</f>
        <v>0</v>
      </c>
      <c r="D5" s="30">
        <f>IF(ISERROR(SUM(LB_lb_gas_kWh,LB_rest_gas_kWh)/1000),0,SUM(LB_lb_gas_kWh,LB_rest_gas_kWh)/1000)*0.902</f>
        <v>19887.768218462192</v>
      </c>
      <c r="E5" s="17">
        <f>B17*'E Balans VL '!I25/3.6*1000000/100</f>
        <v>33.312093302054905</v>
      </c>
      <c r="F5" s="17">
        <f>B17*('E Balans VL '!L25/3.6*1000000+'E Balans VL '!N25/3.6*1000000)/100</f>
        <v>4721.9920648468496</v>
      </c>
      <c r="G5" s="18"/>
      <c r="H5" s="17"/>
      <c r="I5" s="17"/>
      <c r="J5" s="17">
        <f>('E Balans VL '!D25+'E Balans VL '!E25)/3.6*1000000*landbouw!B17/100</f>
        <v>185.98022785807666</v>
      </c>
      <c r="K5" s="17"/>
      <c r="L5" s="17">
        <f>L6*(-1)</f>
        <v>0</v>
      </c>
      <c r="M5" s="17"/>
      <c r="N5" s="17">
        <f>N6*(-1)</f>
        <v>32046.000000000007</v>
      </c>
      <c r="O5" s="17"/>
      <c r="P5" s="17"/>
      <c r="R5" s="32"/>
    </row>
    <row r="6" spans="1:18">
      <c r="A6" s="16" t="s">
        <v>490</v>
      </c>
      <c r="B6" s="17" t="s">
        <v>210</v>
      </c>
      <c r="C6" s="17">
        <f>'lokale energieproductie'!O42+'lokale energieproductie'!O35</f>
        <v>26064.428571428572</v>
      </c>
      <c r="D6" s="308">
        <f>('lokale energieproductie'!P35+'lokale energieproductie'!P42)*(-1)</f>
        <v>-20082.857142857145</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-32046.000000000007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1291.8593822649998</v>
      </c>
      <c r="C8" s="21">
        <f>C5+C6</f>
        <v>26064.428571428572</v>
      </c>
      <c r="D8" s="21">
        <f>MAX((D5+D6),0)</f>
        <v>0</v>
      </c>
      <c r="E8" s="21">
        <f>MAX((E5+E6),0)</f>
        <v>33.312093302054905</v>
      </c>
      <c r="F8" s="21">
        <f>MAX((F5+F6),0)</f>
        <v>4721.9920648468496</v>
      </c>
      <c r="G8" s="21"/>
      <c r="H8" s="21"/>
      <c r="I8" s="21"/>
      <c r="J8" s="21">
        <f>MAX((J5+J6),0)</f>
        <v>185.98022785807666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0.13412449463862622</v>
      </c>
      <c r="C10" s="31">
        <f ca="1">'EF ele_warmte'!B22</f>
        <v>9.4033976110042536E-2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173.26998679046093</v>
      </c>
      <c r="C12" s="23">
        <f ca="1">C8*C10</f>
        <v>2450.9418536076246</v>
      </c>
      <c r="D12" s="23">
        <f>D8*D10</f>
        <v>0</v>
      </c>
      <c r="E12" s="23">
        <f>E8*E10</f>
        <v>7.5618451795664638</v>
      </c>
      <c r="F12" s="23">
        <f>F8*F10</f>
        <v>1260.7718813141089</v>
      </c>
      <c r="G12" s="23"/>
      <c r="H12" s="23"/>
      <c r="I12" s="23"/>
      <c r="J12" s="23">
        <f>J8*J10</f>
        <v>65.837000661759134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0.18216072998403871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221.80060882194059</v>
      </c>
      <c r="C26" s="247">
        <f>B26*'GWP N2O_CH4'!B5</f>
        <v>4657.8127852607522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62.450136086057803</v>
      </c>
      <c r="C27" s="247">
        <f>B27*'GWP N2O_CH4'!B5</f>
        <v>1311.4528578072138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4.7121298466052801</v>
      </c>
      <c r="C28" s="247">
        <f>B28*'GWP N2O_CH4'!B4</f>
        <v>1460.7602524476367</v>
      </c>
      <c r="D28" s="50"/>
    </row>
    <row r="29" spans="1:4">
      <c r="A29" s="41" t="s">
        <v>276</v>
      </c>
      <c r="B29" s="247">
        <f>B34*'ha_N2O bodem landbouw'!B4</f>
        <v>11.064623608935054</v>
      </c>
      <c r="C29" s="247">
        <f>B29*'GWP N2O_CH4'!B4</f>
        <v>3430.033318769867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2.4901415811478525E-3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8.110701700427976E-5</v>
      </c>
      <c r="C5" s="437" t="s">
        <v>210</v>
      </c>
      <c r="D5" s="422">
        <f>SUM(D6:D11)</f>
        <v>1.532373987449744E-4</v>
      </c>
      <c r="E5" s="422">
        <f>SUM(E6:E11)</f>
        <v>6.8832210232690541E-4</v>
      </c>
      <c r="F5" s="435" t="s">
        <v>210</v>
      </c>
      <c r="G5" s="422">
        <f>SUM(G6:G11)</f>
        <v>0.23779571005275352</v>
      </c>
      <c r="H5" s="422">
        <f>SUM(H6:H11)</f>
        <v>5.2450239053082215E-2</v>
      </c>
      <c r="I5" s="437" t="s">
        <v>210</v>
      </c>
      <c r="J5" s="437" t="s">
        <v>210</v>
      </c>
      <c r="K5" s="437" t="s">
        <v>210</v>
      </c>
      <c r="L5" s="437" t="s">
        <v>210</v>
      </c>
      <c r="M5" s="422">
        <f>SUM(M6:M11)</f>
        <v>9.0529863280618007E-3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7.5535491812319712E-5</v>
      </c>
      <c r="C6" s="423"/>
      <c r="D6" s="865">
        <f>vkm_GW_PW*SUMIFS(TableVerdeelsleutelVkm[CNG],TableVerdeelsleutelVkm[Voertuigtype],"Lichte voertuigen")*SUMIFS(TableECFTransport[EnergieConsumptieFactor (PJ per km)],TableECFTransport[Index],CONCATENATE($A6,"_CNG_CNG"))</f>
        <v>1.3616606896108558E-4</v>
      </c>
      <c r="E6" s="865">
        <f>vkm_GW_PW*SUMIFS(TableVerdeelsleutelVkm[LPG],TableVerdeelsleutelVkm[Voertuigtype],"Lichte voertuigen")*SUMIFS(TableECFTransport[EnergieConsumptieFactor (PJ per km)],TableECFTransport[Index],CONCATENATE($A6,"_LPG_LPG"))</f>
        <v>6.151201785983486E-4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0.16804999319570615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4.6753275325015275E-2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6.6880694039259479E-3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5.0879097075077394E-2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9.1810390466385288E-7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1.6006592460947567E-3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5.5715251919600495E-6</v>
      </c>
      <c r="C8" s="423"/>
      <c r="D8" s="425">
        <f>vkm_NGW_PW*SUMIFS(TableVerdeelsleutelVkm[CNG],TableVerdeelsleutelVkm[Voertuigtype],"Lichte voertuigen")*SUMIFS(TableECFTransport[EnergieConsumptieFactor (PJ per km)],TableECFTransport[Index],CONCATENATE($A8,"_CNG_CNG"))</f>
        <v>1.7071329783888836E-5</v>
      </c>
      <c r="E8" s="425">
        <f>vkm_NGW_PW*SUMIFS(TableVerdeelsleutelVkm[LPG],TableVerdeelsleutelVkm[Voertuigtype],"Lichte voertuigen")*SUMIFS(TableECFTransport[EnergieConsumptieFactor (PJ per km)],TableECFTransport[Index],CONCATENATE($A8,"_LPG_LPG"))</f>
        <v>7.3201923728556813E-5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1.8777953313819006E-2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5.6960436490641371E-3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7.6146821473931006E-4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8.8666468150949655E-5</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1.9750981404227037E-9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2.7894633017871328E-6</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22.529726945633264</v>
      </c>
      <c r="C14" s="21"/>
      <c r="D14" s="21">
        <f t="shared" ref="D14:M14" si="0">((D5)*10^9/3600)+D12</f>
        <v>42.565944095826225</v>
      </c>
      <c r="E14" s="21">
        <f t="shared" si="0"/>
        <v>191.20058397969598</v>
      </c>
      <c r="F14" s="21"/>
      <c r="G14" s="21">
        <f t="shared" si="0"/>
        <v>66054.363903542646</v>
      </c>
      <c r="H14" s="21">
        <f t="shared" si="0"/>
        <v>14569.510848078393</v>
      </c>
      <c r="I14" s="21"/>
      <c r="J14" s="21"/>
      <c r="K14" s="21"/>
      <c r="L14" s="21"/>
      <c r="M14" s="21">
        <f t="shared" si="0"/>
        <v>2514.7184244616114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0.13412449463862622</v>
      </c>
      <c r="C16" s="56">
        <f ca="1">'EF ele_warmte'!B22</f>
        <v>9.4033976110042536E-2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3.0217882409293013</v>
      </c>
      <c r="C18" s="23"/>
      <c r="D18" s="23">
        <f t="shared" ref="D18:M18" si="1">D14*D16</f>
        <v>8.5983207073568977</v>
      </c>
      <c r="E18" s="23">
        <f t="shared" si="1"/>
        <v>43.402532563390992</v>
      </c>
      <c r="F18" s="23"/>
      <c r="G18" s="23">
        <f t="shared" si="1"/>
        <v>17636.515162245887</v>
      </c>
      <c r="H18" s="23">
        <f t="shared" si="1"/>
        <v>3627.8082011715196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4.2324133220901462E-3</v>
      </c>
      <c r="H50" s="319">
        <f t="shared" si="2"/>
        <v>0</v>
      </c>
      <c r="I50" s="319">
        <f t="shared" si="2"/>
        <v>0</v>
      </c>
      <c r="J50" s="319">
        <f t="shared" si="2"/>
        <v>0</v>
      </c>
      <c r="K50" s="319">
        <f t="shared" si="2"/>
        <v>0</v>
      </c>
      <c r="L50" s="319">
        <f t="shared" si="2"/>
        <v>0</v>
      </c>
      <c r="M50" s="319">
        <f t="shared" si="2"/>
        <v>1.311142690726087E-4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4.2324133220901462E-3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1.311142690726087E-4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1175.6703672472629</v>
      </c>
      <c r="H54" s="21">
        <f t="shared" si="3"/>
        <v>0</v>
      </c>
      <c r="I54" s="21">
        <f t="shared" si="3"/>
        <v>0</v>
      </c>
      <c r="J54" s="21">
        <f t="shared" si="3"/>
        <v>0</v>
      </c>
      <c r="K54" s="21">
        <f t="shared" si="3"/>
        <v>0</v>
      </c>
      <c r="L54" s="21">
        <f t="shared" si="3"/>
        <v>0</v>
      </c>
      <c r="M54" s="21">
        <f t="shared" si="3"/>
        <v>36.420630297946865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0.13412449463862622</v>
      </c>
      <c r="C56" s="56">
        <f ca="1">'EF ele_warmte'!B22</f>
        <v>9.4033976110042536E-2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313.90398805501923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12125.91410989</v>
      </c>
      <c r="D10" s="978">
        <f ca="1">tertiair!C16</f>
        <v>450.00000000000011</v>
      </c>
      <c r="E10" s="978">
        <f ca="1">tertiair!D16</f>
        <v>8765.682491678861</v>
      </c>
      <c r="F10" s="978">
        <f>tertiair!E16</f>
        <v>211.24657271820573</v>
      </c>
      <c r="G10" s="978">
        <f ca="1">tertiair!F16</f>
        <v>2506.6022430954231</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1.5633333333333335</v>
      </c>
      <c r="Q10" s="979">
        <f>tertiair!P16</f>
        <v>19.066666666666666</v>
      </c>
      <c r="R10" s="674">
        <f ca="1">SUM(C10:Q10)</f>
        <v>24080.075417382486</v>
      </c>
      <c r="S10" s="67"/>
    </row>
    <row r="11" spans="1:19" s="447" customFormat="1">
      <c r="A11" s="783" t="s">
        <v>224</v>
      </c>
      <c r="B11" s="788"/>
      <c r="C11" s="978">
        <f>huishoudens!B8</f>
        <v>25909.436638734616</v>
      </c>
      <c r="D11" s="978">
        <f>huishoudens!C8</f>
        <v>0</v>
      </c>
      <c r="E11" s="978">
        <f>huishoudens!D8</f>
        <v>29056.990393815999</v>
      </c>
      <c r="F11" s="978">
        <f>huishoudens!E8</f>
        <v>33769.981033004049</v>
      </c>
      <c r="G11" s="978">
        <f>huishoudens!F8</f>
        <v>50456.730064184958</v>
      </c>
      <c r="H11" s="978">
        <f>huishoudens!G8</f>
        <v>0</v>
      </c>
      <c r="I11" s="978">
        <f>huishoudens!H8</f>
        <v>0</v>
      </c>
      <c r="J11" s="978">
        <f>huishoudens!I8</f>
        <v>0</v>
      </c>
      <c r="K11" s="978">
        <f>huishoudens!J8</f>
        <v>906.14026743587658</v>
      </c>
      <c r="L11" s="978">
        <f>huishoudens!K8</f>
        <v>0</v>
      </c>
      <c r="M11" s="978">
        <f>huishoudens!L8</f>
        <v>0</v>
      </c>
      <c r="N11" s="978">
        <f>huishoudens!M8</f>
        <v>0</v>
      </c>
      <c r="O11" s="978">
        <f>huishoudens!N8</f>
        <v>23199.257748670261</v>
      </c>
      <c r="P11" s="978">
        <f>huishoudens!O8</f>
        <v>236.06333333333336</v>
      </c>
      <c r="Q11" s="979">
        <f>huishoudens!P8</f>
        <v>1182.1333333333332</v>
      </c>
      <c r="R11" s="674">
        <f>SUM(C11:Q11)</f>
        <v>164716.7328125124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4470.6245530942997</v>
      </c>
      <c r="D13" s="978">
        <f>industrie!C18</f>
        <v>0</v>
      </c>
      <c r="E13" s="978">
        <f>industrie!D18</f>
        <v>6936.8723025150575</v>
      </c>
      <c r="F13" s="978">
        <f>industrie!E18</f>
        <v>316.64338566390597</v>
      </c>
      <c r="G13" s="978">
        <f>industrie!F18</f>
        <v>1570.6417408442001</v>
      </c>
      <c r="H13" s="978">
        <f>industrie!G18</f>
        <v>0</v>
      </c>
      <c r="I13" s="978">
        <f>industrie!H18</f>
        <v>0</v>
      </c>
      <c r="J13" s="978">
        <f>industrie!I18</f>
        <v>0</v>
      </c>
      <c r="K13" s="978">
        <f>industrie!J18</f>
        <v>2.380405777400048</v>
      </c>
      <c r="L13" s="978">
        <f>industrie!K18</f>
        <v>0</v>
      </c>
      <c r="M13" s="978">
        <f>industrie!L18</f>
        <v>0</v>
      </c>
      <c r="N13" s="978">
        <f>industrie!M18</f>
        <v>0</v>
      </c>
      <c r="O13" s="978">
        <f>industrie!N18</f>
        <v>1320.4459882541323</v>
      </c>
      <c r="P13" s="978">
        <f>industrie!O18</f>
        <v>0</v>
      </c>
      <c r="Q13" s="979">
        <f>industrie!P18</f>
        <v>0</v>
      </c>
      <c r="R13" s="674">
        <f>SUM(C13:Q13)</f>
        <v>14617.608376148995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42505.975301718914</v>
      </c>
      <c r="D16" s="706">
        <f t="shared" ref="D16:R16" ca="1" si="0">SUM(D9:D15)</f>
        <v>450.00000000000011</v>
      </c>
      <c r="E16" s="706">
        <f t="shared" ca="1" si="0"/>
        <v>44759.545188009914</v>
      </c>
      <c r="F16" s="706">
        <f t="shared" si="0"/>
        <v>34297.87099138616</v>
      </c>
      <c r="G16" s="706">
        <f t="shared" ca="1" si="0"/>
        <v>54533.974048124583</v>
      </c>
      <c r="H16" s="706">
        <f t="shared" si="0"/>
        <v>0</v>
      </c>
      <c r="I16" s="706">
        <f t="shared" si="0"/>
        <v>0</v>
      </c>
      <c r="J16" s="706">
        <f t="shared" si="0"/>
        <v>0</v>
      </c>
      <c r="K16" s="706">
        <f t="shared" si="0"/>
        <v>908.52067321327661</v>
      </c>
      <c r="L16" s="706">
        <f t="shared" si="0"/>
        <v>0</v>
      </c>
      <c r="M16" s="706">
        <f t="shared" ca="1" si="0"/>
        <v>0</v>
      </c>
      <c r="N16" s="706">
        <f t="shared" si="0"/>
        <v>0</v>
      </c>
      <c r="O16" s="706">
        <f t="shared" ca="1" si="0"/>
        <v>24519.703736924392</v>
      </c>
      <c r="P16" s="706">
        <f t="shared" si="0"/>
        <v>237.62666666666669</v>
      </c>
      <c r="Q16" s="706">
        <f t="shared" si="0"/>
        <v>1201.1999999999998</v>
      </c>
      <c r="R16" s="706">
        <f t="shared" ca="1" si="0"/>
        <v>203414.4166060439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1175.6703672472629</v>
      </c>
      <c r="I19" s="978">
        <f>transport!H54</f>
        <v>0</v>
      </c>
      <c r="J19" s="978">
        <f>transport!I54</f>
        <v>0</v>
      </c>
      <c r="K19" s="978">
        <f>transport!J54</f>
        <v>0</v>
      </c>
      <c r="L19" s="978">
        <f>transport!K54</f>
        <v>0</v>
      </c>
      <c r="M19" s="978">
        <f>transport!L54</f>
        <v>0</v>
      </c>
      <c r="N19" s="978">
        <f>transport!M54</f>
        <v>36.420630297946865</v>
      </c>
      <c r="O19" s="978">
        <f>transport!N54</f>
        <v>0</v>
      </c>
      <c r="P19" s="978">
        <f>transport!O54</f>
        <v>0</v>
      </c>
      <c r="Q19" s="979">
        <f>transport!P54</f>
        <v>0</v>
      </c>
      <c r="R19" s="674">
        <f>SUM(C19:Q19)</f>
        <v>1212.0909975452098</v>
      </c>
      <c r="S19" s="67"/>
    </row>
    <row r="20" spans="1:19" s="447" customFormat="1">
      <c r="A20" s="783" t="s">
        <v>306</v>
      </c>
      <c r="B20" s="788"/>
      <c r="C20" s="978">
        <f>transport!B14</f>
        <v>22.529726945633264</v>
      </c>
      <c r="D20" s="978">
        <f>transport!C14</f>
        <v>0</v>
      </c>
      <c r="E20" s="978">
        <f>transport!D14</f>
        <v>42.565944095826225</v>
      </c>
      <c r="F20" s="978">
        <f>transport!E14</f>
        <v>191.20058397969598</v>
      </c>
      <c r="G20" s="978">
        <f>transport!F14</f>
        <v>0</v>
      </c>
      <c r="H20" s="978">
        <f>transport!G14</f>
        <v>66054.363903542646</v>
      </c>
      <c r="I20" s="978">
        <f>transport!H14</f>
        <v>14569.510848078393</v>
      </c>
      <c r="J20" s="978">
        <f>transport!I14</f>
        <v>0</v>
      </c>
      <c r="K20" s="978">
        <f>transport!J14</f>
        <v>0</v>
      </c>
      <c r="L20" s="978">
        <f>transport!K14</f>
        <v>0</v>
      </c>
      <c r="M20" s="978">
        <f>transport!L14</f>
        <v>0</v>
      </c>
      <c r="N20" s="978">
        <f>transport!M14</f>
        <v>2514.7184244616114</v>
      </c>
      <c r="O20" s="978">
        <f>transport!N14</f>
        <v>0</v>
      </c>
      <c r="P20" s="978">
        <f>transport!O14</f>
        <v>0</v>
      </c>
      <c r="Q20" s="979">
        <f>transport!P14</f>
        <v>0</v>
      </c>
      <c r="R20" s="674">
        <f>SUM(C20:Q20)</f>
        <v>83394.889431103802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22.529726945633264</v>
      </c>
      <c r="D22" s="786">
        <f t="shared" ref="D22:R22" si="1">SUM(D18:D21)</f>
        <v>0</v>
      </c>
      <c r="E22" s="786">
        <f t="shared" si="1"/>
        <v>42.565944095826225</v>
      </c>
      <c r="F22" s="786">
        <f t="shared" si="1"/>
        <v>191.20058397969598</v>
      </c>
      <c r="G22" s="786">
        <f t="shared" si="1"/>
        <v>0</v>
      </c>
      <c r="H22" s="786">
        <f t="shared" si="1"/>
        <v>67230.034270789911</v>
      </c>
      <c r="I22" s="786">
        <f t="shared" si="1"/>
        <v>14569.510848078393</v>
      </c>
      <c r="J22" s="786">
        <f t="shared" si="1"/>
        <v>0</v>
      </c>
      <c r="K22" s="786">
        <f t="shared" si="1"/>
        <v>0</v>
      </c>
      <c r="L22" s="786">
        <f t="shared" si="1"/>
        <v>0</v>
      </c>
      <c r="M22" s="786">
        <f t="shared" si="1"/>
        <v>0</v>
      </c>
      <c r="N22" s="786">
        <f t="shared" si="1"/>
        <v>2551.1390547595583</v>
      </c>
      <c r="O22" s="786">
        <f t="shared" si="1"/>
        <v>0</v>
      </c>
      <c r="P22" s="786">
        <f t="shared" si="1"/>
        <v>0</v>
      </c>
      <c r="Q22" s="786">
        <f t="shared" si="1"/>
        <v>0</v>
      </c>
      <c r="R22" s="786">
        <f t="shared" si="1"/>
        <v>84606.980428649011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1291.8593822649998</v>
      </c>
      <c r="D24" s="978">
        <f>+landbouw!C8</f>
        <v>26064.428571428572</v>
      </c>
      <c r="E24" s="978">
        <f>+landbouw!D8</f>
        <v>0</v>
      </c>
      <c r="F24" s="978">
        <f>+landbouw!E8</f>
        <v>33.312093302054905</v>
      </c>
      <c r="G24" s="978">
        <f>+landbouw!F8</f>
        <v>4721.9920648468496</v>
      </c>
      <c r="H24" s="978">
        <f>+landbouw!G8</f>
        <v>0</v>
      </c>
      <c r="I24" s="978">
        <f>+landbouw!H8</f>
        <v>0</v>
      </c>
      <c r="J24" s="978">
        <f>+landbouw!I8</f>
        <v>0</v>
      </c>
      <c r="K24" s="978">
        <f>+landbouw!J8</f>
        <v>185.98022785807666</v>
      </c>
      <c r="L24" s="978">
        <f>+landbouw!K8</f>
        <v>0</v>
      </c>
      <c r="M24" s="978">
        <f>+landbouw!L8</f>
        <v>0</v>
      </c>
      <c r="N24" s="978">
        <f>+landbouw!M8</f>
        <v>0</v>
      </c>
      <c r="O24" s="978">
        <f>+landbouw!N8</f>
        <v>0</v>
      </c>
      <c r="P24" s="978">
        <f>+landbouw!O8</f>
        <v>0</v>
      </c>
      <c r="Q24" s="979">
        <f>+landbouw!P8</f>
        <v>0</v>
      </c>
      <c r="R24" s="674">
        <f>SUM(C24:Q24)</f>
        <v>32297.572339700553</v>
      </c>
      <c r="S24" s="67"/>
    </row>
    <row r="25" spans="1:19" s="447" customFormat="1" ht="15" thickBot="1">
      <c r="A25" s="805" t="s">
        <v>834</v>
      </c>
      <c r="B25" s="981"/>
      <c r="C25" s="982">
        <f>IF(Onbekend_ele_kWh="---",0,Onbekend_ele_kWh)/1000+IF(REST_rest_ele_kWh="---",0,REST_rest_ele_kWh)/1000</f>
        <v>891.86355314000002</v>
      </c>
      <c r="D25" s="982"/>
      <c r="E25" s="982">
        <f>IF(onbekend_gas_kWh="---",0,onbekend_gas_kWh)/1000+IF(REST_rest_gas_kWh="---",0,REST_rest_gas_kWh)/1000</f>
        <v>927.26107129999991</v>
      </c>
      <c r="F25" s="982"/>
      <c r="G25" s="982"/>
      <c r="H25" s="982"/>
      <c r="I25" s="982"/>
      <c r="J25" s="982"/>
      <c r="K25" s="982"/>
      <c r="L25" s="982"/>
      <c r="M25" s="982"/>
      <c r="N25" s="982"/>
      <c r="O25" s="982"/>
      <c r="P25" s="982"/>
      <c r="Q25" s="983"/>
      <c r="R25" s="674">
        <f>SUM(C25:Q25)</f>
        <v>1819.1246244399999</v>
      </c>
      <c r="S25" s="67"/>
    </row>
    <row r="26" spans="1:19" s="447" customFormat="1" ht="15.75" thickBot="1">
      <c r="A26" s="679" t="s">
        <v>835</v>
      </c>
      <c r="B26" s="791"/>
      <c r="C26" s="786">
        <f>SUM(C24:C25)</f>
        <v>2183.7229354049996</v>
      </c>
      <c r="D26" s="786">
        <f t="shared" ref="D26:R26" si="2">SUM(D24:D25)</f>
        <v>26064.428571428572</v>
      </c>
      <c r="E26" s="786">
        <f t="shared" si="2"/>
        <v>927.26107129999991</v>
      </c>
      <c r="F26" s="786">
        <f t="shared" si="2"/>
        <v>33.312093302054905</v>
      </c>
      <c r="G26" s="786">
        <f t="shared" si="2"/>
        <v>4721.9920648468496</v>
      </c>
      <c r="H26" s="786">
        <f t="shared" si="2"/>
        <v>0</v>
      </c>
      <c r="I26" s="786">
        <f t="shared" si="2"/>
        <v>0</v>
      </c>
      <c r="J26" s="786">
        <f t="shared" si="2"/>
        <v>0</v>
      </c>
      <c r="K26" s="786">
        <f t="shared" si="2"/>
        <v>185.98022785807666</v>
      </c>
      <c r="L26" s="786">
        <f t="shared" si="2"/>
        <v>0</v>
      </c>
      <c r="M26" s="786">
        <f t="shared" si="2"/>
        <v>0</v>
      </c>
      <c r="N26" s="786">
        <f t="shared" si="2"/>
        <v>0</v>
      </c>
      <c r="O26" s="786">
        <f t="shared" si="2"/>
        <v>0</v>
      </c>
      <c r="P26" s="786">
        <f t="shared" si="2"/>
        <v>0</v>
      </c>
      <c r="Q26" s="786">
        <f t="shared" si="2"/>
        <v>0</v>
      </c>
      <c r="R26" s="786">
        <f t="shared" si="2"/>
        <v>34116.696964140552</v>
      </c>
      <c r="S26" s="67"/>
    </row>
    <row r="27" spans="1:19" s="447" customFormat="1" ht="17.25" thickTop="1" thickBot="1">
      <c r="A27" s="680" t="s">
        <v>115</v>
      </c>
      <c r="B27" s="779"/>
      <c r="C27" s="681">
        <f ca="1">C22+C16+C26</f>
        <v>44712.227964069549</v>
      </c>
      <c r="D27" s="681">
        <f t="shared" ref="D27:R27" ca="1" si="3">D22+D16+D26</f>
        <v>26514.428571428572</v>
      </c>
      <c r="E27" s="681">
        <f t="shared" ca="1" si="3"/>
        <v>45729.372203405743</v>
      </c>
      <c r="F27" s="681">
        <f t="shared" si="3"/>
        <v>34522.383668667913</v>
      </c>
      <c r="G27" s="681">
        <f t="shared" ca="1" si="3"/>
        <v>59255.96611297143</v>
      </c>
      <c r="H27" s="681">
        <f t="shared" si="3"/>
        <v>67230.034270789911</v>
      </c>
      <c r="I27" s="681">
        <f t="shared" si="3"/>
        <v>14569.510848078393</v>
      </c>
      <c r="J27" s="681">
        <f t="shared" si="3"/>
        <v>0</v>
      </c>
      <c r="K27" s="681">
        <f t="shared" si="3"/>
        <v>1094.5009010713534</v>
      </c>
      <c r="L27" s="681">
        <f t="shared" si="3"/>
        <v>0</v>
      </c>
      <c r="M27" s="681">
        <f t="shared" ca="1" si="3"/>
        <v>0</v>
      </c>
      <c r="N27" s="681">
        <f t="shared" si="3"/>
        <v>2551.1390547595583</v>
      </c>
      <c r="O27" s="681">
        <f t="shared" ca="1" si="3"/>
        <v>24519.703736924392</v>
      </c>
      <c r="P27" s="681">
        <f t="shared" si="3"/>
        <v>237.62666666666669</v>
      </c>
      <c r="Q27" s="681">
        <f t="shared" si="3"/>
        <v>1201.1999999999998</v>
      </c>
      <c r="R27" s="681">
        <f t="shared" ca="1" si="3"/>
        <v>322138.0939988335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1626.3821020203834</v>
      </c>
      <c r="D40" s="978">
        <f ca="1">tertiair!C20</f>
        <v>42.315289249519154</v>
      </c>
      <c r="E40" s="978">
        <f ca="1">tertiair!D20</f>
        <v>1770.66786331913</v>
      </c>
      <c r="F40" s="978">
        <f>tertiair!E20</f>
        <v>47.952972007032699</v>
      </c>
      <c r="G40" s="978">
        <f ca="1">tertiair!F20</f>
        <v>669.262798906478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4156.5810255025435</v>
      </c>
    </row>
    <row r="41" spans="1:18">
      <c r="A41" s="796" t="s">
        <v>224</v>
      </c>
      <c r="B41" s="803"/>
      <c r="C41" s="978">
        <f ca="1">huishoudens!B12</f>
        <v>3475.0900955417869</v>
      </c>
      <c r="D41" s="978">
        <f ca="1">huishoudens!C12</f>
        <v>0</v>
      </c>
      <c r="E41" s="978">
        <f>huishoudens!D12</f>
        <v>5869.5120595508324</v>
      </c>
      <c r="F41" s="978">
        <f>huishoudens!E12</f>
        <v>7665.7856944919195</v>
      </c>
      <c r="G41" s="978">
        <f>huishoudens!F12</f>
        <v>13471.946927137384</v>
      </c>
      <c r="H41" s="978">
        <f>huishoudens!G12</f>
        <v>0</v>
      </c>
      <c r="I41" s="978">
        <f>huishoudens!H12</f>
        <v>0</v>
      </c>
      <c r="J41" s="978">
        <f>huishoudens!I12</f>
        <v>0</v>
      </c>
      <c r="K41" s="978">
        <f>huishoudens!J12</f>
        <v>320.77365467230027</v>
      </c>
      <c r="L41" s="978">
        <f>huishoudens!K12</f>
        <v>0</v>
      </c>
      <c r="M41" s="978">
        <f>huishoudens!L12</f>
        <v>0</v>
      </c>
      <c r="N41" s="978">
        <f>huishoudens!M12</f>
        <v>0</v>
      </c>
      <c r="O41" s="978">
        <f>huishoudens!N12</f>
        <v>0</v>
      </c>
      <c r="P41" s="978">
        <f>huishoudens!O12</f>
        <v>0</v>
      </c>
      <c r="Q41" s="748">
        <f>huishoudens!P12</f>
        <v>0</v>
      </c>
      <c r="R41" s="824">
        <f t="shared" ca="1" si="4"/>
        <v>30803.108431394223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599.62025890280711</v>
      </c>
      <c r="D43" s="978">
        <f ca="1">industrie!C22</f>
        <v>0</v>
      </c>
      <c r="E43" s="978">
        <f>industrie!D22</f>
        <v>1401.2482051080417</v>
      </c>
      <c r="F43" s="978">
        <f>industrie!E22</f>
        <v>71.878048545706662</v>
      </c>
      <c r="G43" s="978">
        <f>industrie!F22</f>
        <v>419.36134480540142</v>
      </c>
      <c r="H43" s="978">
        <f>industrie!G22</f>
        <v>0</v>
      </c>
      <c r="I43" s="978">
        <f>industrie!H22</f>
        <v>0</v>
      </c>
      <c r="J43" s="978">
        <f>industrie!I22</f>
        <v>0</v>
      </c>
      <c r="K43" s="978">
        <f>industrie!J22</f>
        <v>0.8426636451996169</v>
      </c>
      <c r="L43" s="978">
        <f>industrie!K22</f>
        <v>0</v>
      </c>
      <c r="M43" s="978">
        <f>industrie!L22</f>
        <v>0</v>
      </c>
      <c r="N43" s="978">
        <f>industrie!M22</f>
        <v>0</v>
      </c>
      <c r="O43" s="978">
        <f>industrie!N22</f>
        <v>0</v>
      </c>
      <c r="P43" s="978">
        <f>industrie!O22</f>
        <v>0</v>
      </c>
      <c r="Q43" s="748">
        <f>industrie!P22</f>
        <v>0</v>
      </c>
      <c r="R43" s="823">
        <f t="shared" ca="1" si="4"/>
        <v>2492.9505210071566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5701.0924564649777</v>
      </c>
      <c r="D46" s="706">
        <f t="shared" ref="D46:Q46" ca="1" si="5">SUM(D39:D45)</f>
        <v>42.315289249519154</v>
      </c>
      <c r="E46" s="706">
        <f t="shared" ca="1" si="5"/>
        <v>9041.4281279780043</v>
      </c>
      <c r="F46" s="706">
        <f t="shared" si="5"/>
        <v>7785.6167150446581</v>
      </c>
      <c r="G46" s="706">
        <f t="shared" ca="1" si="5"/>
        <v>14560.571070849264</v>
      </c>
      <c r="H46" s="706">
        <f t="shared" si="5"/>
        <v>0</v>
      </c>
      <c r="I46" s="706">
        <f t="shared" si="5"/>
        <v>0</v>
      </c>
      <c r="J46" s="706">
        <f t="shared" si="5"/>
        <v>0</v>
      </c>
      <c r="K46" s="706">
        <f t="shared" si="5"/>
        <v>321.61631831749986</v>
      </c>
      <c r="L46" s="706">
        <f t="shared" si="5"/>
        <v>0</v>
      </c>
      <c r="M46" s="706">
        <f t="shared" ca="1" si="5"/>
        <v>0</v>
      </c>
      <c r="N46" s="706">
        <f t="shared" si="5"/>
        <v>0</v>
      </c>
      <c r="O46" s="706">
        <f t="shared" ca="1" si="5"/>
        <v>0</v>
      </c>
      <c r="P46" s="706">
        <f t="shared" si="5"/>
        <v>0</v>
      </c>
      <c r="Q46" s="706">
        <f t="shared" si="5"/>
        <v>0</v>
      </c>
      <c r="R46" s="706">
        <f ca="1">SUM(R39:R45)</f>
        <v>37452.639977903928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313.90398805501923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313.90398805501923</v>
      </c>
    </row>
    <row r="50" spans="1:18">
      <c r="A50" s="799" t="s">
        <v>306</v>
      </c>
      <c r="B50" s="809"/>
      <c r="C50" s="677">
        <f ca="1">transport!B18</f>
        <v>3.0217882409293013</v>
      </c>
      <c r="D50" s="677">
        <f>transport!C18</f>
        <v>0</v>
      </c>
      <c r="E50" s="677">
        <f>transport!D18</f>
        <v>8.5983207073568977</v>
      </c>
      <c r="F50" s="677">
        <f>transport!E18</f>
        <v>43.402532563390992</v>
      </c>
      <c r="G50" s="677">
        <f>transport!F18</f>
        <v>0</v>
      </c>
      <c r="H50" s="677">
        <f>transport!G18</f>
        <v>17636.515162245887</v>
      </c>
      <c r="I50" s="677">
        <f>transport!H18</f>
        <v>3627.8082011715196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21319.346004929084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3.0217882409293013</v>
      </c>
      <c r="D52" s="706">
        <f t="shared" ref="D52:Q52" ca="1" si="6">SUM(D48:D51)</f>
        <v>0</v>
      </c>
      <c r="E52" s="706">
        <f t="shared" si="6"/>
        <v>8.5983207073568977</v>
      </c>
      <c r="F52" s="706">
        <f t="shared" si="6"/>
        <v>43.402532563390992</v>
      </c>
      <c r="G52" s="706">
        <f t="shared" si="6"/>
        <v>0</v>
      </c>
      <c r="H52" s="706">
        <f t="shared" si="6"/>
        <v>17950.419150300906</v>
      </c>
      <c r="I52" s="706">
        <f t="shared" si="6"/>
        <v>3627.8082011715196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21633.249992984103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173.26998679046093</v>
      </c>
      <c r="D54" s="677">
        <f ca="1">+landbouw!C12</f>
        <v>2450.9418536076246</v>
      </c>
      <c r="E54" s="677">
        <f>+landbouw!D12</f>
        <v>0</v>
      </c>
      <c r="F54" s="677">
        <f>+landbouw!E12</f>
        <v>7.5618451795664638</v>
      </c>
      <c r="G54" s="677">
        <f>+landbouw!F12</f>
        <v>1260.7718813141089</v>
      </c>
      <c r="H54" s="677">
        <f>+landbouw!G12</f>
        <v>0</v>
      </c>
      <c r="I54" s="677">
        <f>+landbouw!H12</f>
        <v>0</v>
      </c>
      <c r="J54" s="677">
        <f>+landbouw!I12</f>
        <v>0</v>
      </c>
      <c r="K54" s="677">
        <f>+landbouw!J12</f>
        <v>65.837000661759134</v>
      </c>
      <c r="L54" s="677">
        <f>+landbouw!K12</f>
        <v>0</v>
      </c>
      <c r="M54" s="677">
        <f>+landbouw!L12</f>
        <v>0</v>
      </c>
      <c r="N54" s="677">
        <f>+landbouw!M12</f>
        <v>0</v>
      </c>
      <c r="O54" s="677">
        <f>+landbouw!N12</f>
        <v>0</v>
      </c>
      <c r="P54" s="677">
        <f>+landbouw!O12</f>
        <v>0</v>
      </c>
      <c r="Q54" s="678">
        <f>+landbouw!P12</f>
        <v>0</v>
      </c>
      <c r="R54" s="705">
        <f ca="1">SUM(C54:Q54)</f>
        <v>3958.3825675535195</v>
      </c>
    </row>
    <row r="55" spans="1:18" ht="15" thickBot="1">
      <c r="A55" s="799" t="s">
        <v>834</v>
      </c>
      <c r="B55" s="809"/>
      <c r="C55" s="677">
        <f ca="1">C25*'EF ele_warmte'!B12</f>
        <v>119.62074835151206</v>
      </c>
      <c r="D55" s="677"/>
      <c r="E55" s="677">
        <f>E25*EF_CO2_aardgas</f>
        <v>187.3067364026</v>
      </c>
      <c r="F55" s="677"/>
      <c r="G55" s="677"/>
      <c r="H55" s="677"/>
      <c r="I55" s="677"/>
      <c r="J55" s="677"/>
      <c r="K55" s="677"/>
      <c r="L55" s="677"/>
      <c r="M55" s="677"/>
      <c r="N55" s="677"/>
      <c r="O55" s="677"/>
      <c r="P55" s="677"/>
      <c r="Q55" s="678"/>
      <c r="R55" s="705">
        <f ca="1">SUM(C55:Q55)</f>
        <v>306.92748475411207</v>
      </c>
    </row>
    <row r="56" spans="1:18" ht="15.75" thickBot="1">
      <c r="A56" s="797" t="s">
        <v>835</v>
      </c>
      <c r="B56" s="810"/>
      <c r="C56" s="706">
        <f ca="1">SUM(C54:C55)</f>
        <v>292.89073514197298</v>
      </c>
      <c r="D56" s="706">
        <f t="shared" ref="D56:Q56" ca="1" si="7">SUM(D54:D55)</f>
        <v>2450.9418536076246</v>
      </c>
      <c r="E56" s="706">
        <f t="shared" si="7"/>
        <v>187.3067364026</v>
      </c>
      <c r="F56" s="706">
        <f t="shared" si="7"/>
        <v>7.5618451795664638</v>
      </c>
      <c r="G56" s="706">
        <f t="shared" si="7"/>
        <v>1260.7718813141089</v>
      </c>
      <c r="H56" s="706">
        <f t="shared" si="7"/>
        <v>0</v>
      </c>
      <c r="I56" s="706">
        <f t="shared" si="7"/>
        <v>0</v>
      </c>
      <c r="J56" s="706">
        <f t="shared" si="7"/>
        <v>0</v>
      </c>
      <c r="K56" s="706">
        <f t="shared" si="7"/>
        <v>65.837000661759134</v>
      </c>
      <c r="L56" s="706">
        <f t="shared" si="7"/>
        <v>0</v>
      </c>
      <c r="M56" s="706">
        <f t="shared" si="7"/>
        <v>0</v>
      </c>
      <c r="N56" s="706">
        <f t="shared" si="7"/>
        <v>0</v>
      </c>
      <c r="O56" s="706">
        <f t="shared" si="7"/>
        <v>0</v>
      </c>
      <c r="P56" s="706">
        <f t="shared" si="7"/>
        <v>0</v>
      </c>
      <c r="Q56" s="707">
        <f t="shared" si="7"/>
        <v>0</v>
      </c>
      <c r="R56" s="708">
        <f ca="1">SUM(R54:R55)</f>
        <v>4265.3100523076318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5997.0049798478803</v>
      </c>
      <c r="D61" s="714">
        <f t="shared" ref="D61:Q61" ca="1" si="8">D46+D52+D56</f>
        <v>2493.2571428571437</v>
      </c>
      <c r="E61" s="714">
        <f t="shared" ca="1" si="8"/>
        <v>9237.3331850879604</v>
      </c>
      <c r="F61" s="714">
        <f t="shared" si="8"/>
        <v>7836.5810927876155</v>
      </c>
      <c r="G61" s="714">
        <f t="shared" ca="1" si="8"/>
        <v>15821.342952163373</v>
      </c>
      <c r="H61" s="714">
        <f t="shared" si="8"/>
        <v>17950.419150300906</v>
      </c>
      <c r="I61" s="714">
        <f t="shared" si="8"/>
        <v>3627.8082011715196</v>
      </c>
      <c r="J61" s="714">
        <f t="shared" si="8"/>
        <v>0</v>
      </c>
      <c r="K61" s="714">
        <f t="shared" si="8"/>
        <v>387.453318979259</v>
      </c>
      <c r="L61" s="714">
        <f t="shared" si="8"/>
        <v>0</v>
      </c>
      <c r="M61" s="714">
        <f t="shared" ca="1" si="8"/>
        <v>0</v>
      </c>
      <c r="N61" s="714">
        <f t="shared" si="8"/>
        <v>0</v>
      </c>
      <c r="O61" s="714">
        <f t="shared" ca="1" si="8"/>
        <v>0</v>
      </c>
      <c r="P61" s="714">
        <f t="shared" si="8"/>
        <v>0</v>
      </c>
      <c r="Q61" s="714">
        <f t="shared" si="8"/>
        <v>0</v>
      </c>
      <c r="R61" s="714">
        <f ca="1">R46+R52+R56</f>
        <v>63351.200023195663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0.13412449463862625</v>
      </c>
      <c r="D63" s="755">
        <f t="shared" ca="1" si="9"/>
        <v>9.4033976110042536E-2</v>
      </c>
      <c r="E63" s="989">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5572.5533946221267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11216.1</v>
      </c>
      <c r="C76" s="724">
        <f>'lokale energieproductie'!B8*IFERROR(SUM(D76:H76)/SUM(D76:O76),0)</f>
        <v>7343.9999999999991</v>
      </c>
      <c r="D76" s="999">
        <f>'lokale energieproductie'!C8</f>
        <v>8640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13195.411764705885</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1745.2800000000002</v>
      </c>
      <c r="R76" s="826">
        <v>0</v>
      </c>
    </row>
    <row r="77" spans="1:18" ht="30.75" thickBot="1">
      <c r="A77" s="727" t="s">
        <v>352</v>
      </c>
      <c r="B77" s="724">
        <f>'lokale energieproductie'!B9*IFERROR(SUM(I77:O77)/SUM(D77:O77),0)</f>
        <v>1341</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3831.4285714285716</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18129.653394622128</v>
      </c>
      <c r="C78" s="729">
        <f>SUM(C72:C77)</f>
        <v>7343.9999999999991</v>
      </c>
      <c r="D78" s="730">
        <f t="shared" ref="D78:H78" si="10">SUM(D76:D77)</f>
        <v>8640</v>
      </c>
      <c r="E78" s="730">
        <f t="shared" si="10"/>
        <v>0</v>
      </c>
      <c r="F78" s="730">
        <f t="shared" si="10"/>
        <v>0</v>
      </c>
      <c r="G78" s="730">
        <f t="shared" si="10"/>
        <v>0</v>
      </c>
      <c r="H78" s="730">
        <f t="shared" si="10"/>
        <v>0</v>
      </c>
      <c r="I78" s="730">
        <f>SUM(I76:I77)</f>
        <v>0</v>
      </c>
      <c r="J78" s="730">
        <f>SUM(J76:J77)</f>
        <v>17026.840336134457</v>
      </c>
      <c r="K78" s="730">
        <f t="shared" ref="K78:L78" si="11">SUM(K76:K77)</f>
        <v>0</v>
      </c>
      <c r="L78" s="730">
        <f t="shared" si="11"/>
        <v>0</v>
      </c>
      <c r="M78" s="730">
        <f>SUM(M76:M77)</f>
        <v>0</v>
      </c>
      <c r="N78" s="730">
        <f>SUM(N76:N77)</f>
        <v>0</v>
      </c>
      <c r="O78" s="834">
        <f>SUM(O76:O77)</f>
        <v>0</v>
      </c>
      <c r="P78" s="731">
        <v>0</v>
      </c>
      <c r="Q78" s="731">
        <f>SUM(Q76:Q77)</f>
        <v>1745.2800000000002</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16023</v>
      </c>
      <c r="C87" s="740">
        <f>'lokale energieproductie'!B17*IFERROR(SUM(D87:H87)/SUM(D87:O87),0)</f>
        <v>10491.428571428571</v>
      </c>
      <c r="D87" s="751">
        <f>'lokale energieproductie'!C17</f>
        <v>12342.857142857145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18850.588235294123</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2493.2571428571437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16023</v>
      </c>
      <c r="C90" s="729">
        <f>SUM(C87:C89)</f>
        <v>10491.428571428571</v>
      </c>
      <c r="D90" s="729">
        <f t="shared" ref="D90:H90" si="12">SUM(D87:D89)</f>
        <v>12342.857142857145</v>
      </c>
      <c r="E90" s="729">
        <f t="shared" si="12"/>
        <v>0</v>
      </c>
      <c r="F90" s="729">
        <f t="shared" si="12"/>
        <v>0</v>
      </c>
      <c r="G90" s="729">
        <f t="shared" si="12"/>
        <v>0</v>
      </c>
      <c r="H90" s="729">
        <f t="shared" si="12"/>
        <v>0</v>
      </c>
      <c r="I90" s="729">
        <f>SUM(I87:I89)</f>
        <v>0</v>
      </c>
      <c r="J90" s="729">
        <f>SUM(J87:J89)</f>
        <v>18850.588235294123</v>
      </c>
      <c r="K90" s="729">
        <f t="shared" ref="K90:L90" si="13">SUM(K87:K89)</f>
        <v>0</v>
      </c>
      <c r="L90" s="729">
        <f t="shared" si="13"/>
        <v>0</v>
      </c>
      <c r="M90" s="729">
        <f>SUM(M87:M89)</f>
        <v>0</v>
      </c>
      <c r="N90" s="729">
        <f>SUM(N87:N89)</f>
        <v>0</v>
      </c>
      <c r="O90" s="729">
        <f>SUM(O87:O89)</f>
        <v>0</v>
      </c>
      <c r="P90" s="729">
        <v>0</v>
      </c>
      <c r="Q90" s="729">
        <f>SUM(Q87:Q89)</f>
        <v>2493.2571428571437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5572.5533946221267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N32</f>
        <v>18560.099999999999</v>
      </c>
      <c r="C8" s="544">
        <f>B51</f>
        <v>8640</v>
      </c>
      <c r="D8" s="1009"/>
      <c r="E8" s="1009">
        <f>E51</f>
        <v>0</v>
      </c>
      <c r="F8" s="1010"/>
      <c r="G8" s="545"/>
      <c r="H8" s="1009">
        <f>I51</f>
        <v>0</v>
      </c>
      <c r="I8" s="1009">
        <f>G51+F51</f>
        <v>0</v>
      </c>
      <c r="J8" s="1009">
        <f>H51+D51+C51</f>
        <v>13195.411764705885</v>
      </c>
      <c r="K8" s="1009"/>
      <c r="L8" s="1009"/>
      <c r="M8" s="1009"/>
      <c r="N8" s="546"/>
      <c r="O8" s="547">
        <f>C8*$C$12+D8*$D$12+E8*$E$12+F8*$F$12+G8*$G$12+H8*$H$12+I8*$I$12+J8*$J$12</f>
        <v>1745.2800000000002</v>
      </c>
      <c r="P8" s="1239"/>
      <c r="Q8" s="1240"/>
      <c r="S8" s="973"/>
      <c r="T8" s="1260"/>
      <c r="U8" s="1260"/>
    </row>
    <row r="9" spans="1:21" s="533" customFormat="1" ht="17.45" customHeight="1" thickBot="1">
      <c r="A9" s="548" t="s">
        <v>247</v>
      </c>
      <c r="B9" s="549">
        <f>N39+'Eigen informatie GS &amp; warmtenet'!B12</f>
        <v>1341</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25473.653394622124</v>
      </c>
      <c r="C10" s="557">
        <f t="shared" ref="C10:L10" si="0">SUM(C8:C9)</f>
        <v>8640</v>
      </c>
      <c r="D10" s="557">
        <f t="shared" si="0"/>
        <v>0</v>
      </c>
      <c r="E10" s="557">
        <f t="shared" si="0"/>
        <v>0</v>
      </c>
      <c r="F10" s="557">
        <f t="shared" si="0"/>
        <v>0</v>
      </c>
      <c r="G10" s="557">
        <f t="shared" si="0"/>
        <v>0</v>
      </c>
      <c r="H10" s="557">
        <f t="shared" si="0"/>
        <v>0</v>
      </c>
      <c r="I10" s="557">
        <f t="shared" si="0"/>
        <v>0</v>
      </c>
      <c r="J10" s="557">
        <f t="shared" si="0"/>
        <v>17026.840336134457</v>
      </c>
      <c r="K10" s="557">
        <f t="shared" si="0"/>
        <v>0</v>
      </c>
      <c r="L10" s="557">
        <f t="shared" si="0"/>
        <v>0</v>
      </c>
      <c r="M10" s="1012"/>
      <c r="N10" s="1012"/>
      <c r="O10" s="558">
        <f>SUM(O4:O9)</f>
        <v>1745.2800000000002</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O32</f>
        <v>26514.428571428572</v>
      </c>
      <c r="C17" s="569">
        <f>B52</f>
        <v>12342.857142857145</v>
      </c>
      <c r="D17" s="570"/>
      <c r="E17" s="570">
        <f>E52</f>
        <v>0</v>
      </c>
      <c r="F17" s="1015"/>
      <c r="G17" s="571"/>
      <c r="H17" s="569">
        <f>I52</f>
        <v>0</v>
      </c>
      <c r="I17" s="570">
        <f>G52+F52</f>
        <v>0</v>
      </c>
      <c r="J17" s="570">
        <f>H52+D52+C52</f>
        <v>18850.588235294123</v>
      </c>
      <c r="K17" s="570"/>
      <c r="L17" s="570"/>
      <c r="M17" s="570"/>
      <c r="N17" s="1016"/>
      <c r="O17" s="572">
        <f>C17*$C$22+E17*$E$22+H17*$H$22+I17*$I$22+J17*$J$22+D17*$D$22+F17*$F$22+G17*$G$22+K17*$K$22+L17*$L$22</f>
        <v>2493.2571428571437</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26514.428571428572</v>
      </c>
      <c r="C20" s="556">
        <f>SUM(C17:C19)</f>
        <v>12342.857142857145</v>
      </c>
      <c r="D20" s="556">
        <f t="shared" ref="D20:L20" si="1">SUM(D17:D19)</f>
        <v>0</v>
      </c>
      <c r="E20" s="556">
        <f t="shared" si="1"/>
        <v>0</v>
      </c>
      <c r="F20" s="556">
        <f t="shared" si="1"/>
        <v>0</v>
      </c>
      <c r="G20" s="556">
        <f t="shared" si="1"/>
        <v>0</v>
      </c>
      <c r="H20" s="556">
        <f t="shared" si="1"/>
        <v>0</v>
      </c>
      <c r="I20" s="556">
        <f t="shared" si="1"/>
        <v>0</v>
      </c>
      <c r="J20" s="556">
        <f t="shared" si="1"/>
        <v>18850.588235294123</v>
      </c>
      <c r="K20" s="556">
        <f t="shared" si="1"/>
        <v>0</v>
      </c>
      <c r="L20" s="556">
        <f t="shared" si="1"/>
        <v>0</v>
      </c>
      <c r="M20" s="556"/>
      <c r="N20" s="556"/>
      <c r="O20" s="575">
        <f>SUM(O17:O19)</f>
        <v>2493.2571428571437</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13013</v>
      </c>
      <c r="C28" s="770">
        <v>2230</v>
      </c>
      <c r="D28" s="627" t="s">
        <v>896</v>
      </c>
      <c r="E28" s="626" t="s">
        <v>897</v>
      </c>
      <c r="F28" s="626" t="s">
        <v>898</v>
      </c>
      <c r="G28" s="626" t="s">
        <v>899</v>
      </c>
      <c r="H28" s="626" t="s">
        <v>900</v>
      </c>
      <c r="I28" s="626" t="s">
        <v>897</v>
      </c>
      <c r="J28" s="769">
        <v>39923</v>
      </c>
      <c r="K28" s="769">
        <v>39923</v>
      </c>
      <c r="L28" s="626" t="s">
        <v>901</v>
      </c>
      <c r="M28" s="626">
        <v>1562</v>
      </c>
      <c r="N28" s="626">
        <v>7029</v>
      </c>
      <c r="O28" s="626">
        <v>10041.428571428572</v>
      </c>
      <c r="P28" s="626">
        <v>20082.857142857145</v>
      </c>
      <c r="Q28" s="626">
        <v>0</v>
      </c>
      <c r="R28" s="626">
        <v>0</v>
      </c>
      <c r="S28" s="626">
        <v>0</v>
      </c>
      <c r="T28" s="626">
        <v>0</v>
      </c>
      <c r="U28" s="626">
        <v>0</v>
      </c>
      <c r="V28" s="626">
        <v>0</v>
      </c>
      <c r="W28" s="626">
        <v>0</v>
      </c>
      <c r="X28" s="626">
        <v>10</v>
      </c>
      <c r="Y28" s="626" t="s">
        <v>111</v>
      </c>
      <c r="Z28" s="628" t="s">
        <v>111</v>
      </c>
    </row>
    <row r="29" spans="1:26" s="580" customFormat="1" ht="25.5">
      <c r="A29" s="579"/>
      <c r="B29" s="770">
        <v>13013</v>
      </c>
      <c r="C29" s="770">
        <v>2230</v>
      </c>
      <c r="D29" s="627" t="s">
        <v>902</v>
      </c>
      <c r="E29" s="626" t="s">
        <v>903</v>
      </c>
      <c r="F29" s="626" t="s">
        <v>904</v>
      </c>
      <c r="G29" s="626" t="s">
        <v>899</v>
      </c>
      <c r="H29" s="626" t="s">
        <v>900</v>
      </c>
      <c r="I29" s="626" t="s">
        <v>903</v>
      </c>
      <c r="J29" s="769">
        <v>40168</v>
      </c>
      <c r="K29" s="769">
        <v>39933</v>
      </c>
      <c r="L29" s="626" t="s">
        <v>901</v>
      </c>
      <c r="M29" s="626">
        <v>2486</v>
      </c>
      <c r="N29" s="626">
        <v>11187.000000000002</v>
      </c>
      <c r="O29" s="626">
        <v>15981.428571428574</v>
      </c>
      <c r="P29" s="626">
        <v>0</v>
      </c>
      <c r="Q29" s="626">
        <v>31962.857142857149</v>
      </c>
      <c r="R29" s="626">
        <v>0</v>
      </c>
      <c r="S29" s="626">
        <v>0</v>
      </c>
      <c r="T29" s="626">
        <v>0</v>
      </c>
      <c r="U29" s="626">
        <v>0</v>
      </c>
      <c r="V29" s="626">
        <v>0</v>
      </c>
      <c r="W29" s="626">
        <v>0</v>
      </c>
      <c r="X29" s="626">
        <v>10</v>
      </c>
      <c r="Y29" s="626" t="s">
        <v>111</v>
      </c>
      <c r="Z29" s="628" t="s">
        <v>111</v>
      </c>
    </row>
    <row r="30" spans="1:26" s="580" customFormat="1" ht="51">
      <c r="A30" s="579"/>
      <c r="B30" s="770">
        <v>13013</v>
      </c>
      <c r="C30" s="770">
        <v>2230</v>
      </c>
      <c r="D30" s="627" t="s">
        <v>905</v>
      </c>
      <c r="E30" s="626" t="s">
        <v>906</v>
      </c>
      <c r="F30" s="626" t="s">
        <v>907</v>
      </c>
      <c r="G30" s="626" t="s">
        <v>899</v>
      </c>
      <c r="H30" s="626" t="s">
        <v>900</v>
      </c>
      <c r="I30" s="626" t="s">
        <v>906</v>
      </c>
      <c r="J30" s="769">
        <v>41995</v>
      </c>
      <c r="K30" s="769">
        <v>41992</v>
      </c>
      <c r="L30" s="626" t="s">
        <v>901</v>
      </c>
      <c r="M30" s="626">
        <v>70</v>
      </c>
      <c r="N30" s="626">
        <v>315.00000000000006</v>
      </c>
      <c r="O30" s="626">
        <v>450.00000000000011</v>
      </c>
      <c r="P30" s="626">
        <v>900.00000000000023</v>
      </c>
      <c r="Q30" s="626">
        <v>0</v>
      </c>
      <c r="R30" s="626">
        <v>0</v>
      </c>
      <c r="S30" s="626">
        <v>0</v>
      </c>
      <c r="T30" s="626">
        <v>0</v>
      </c>
      <c r="U30" s="626">
        <v>0</v>
      </c>
      <c r="V30" s="626">
        <v>0</v>
      </c>
      <c r="W30" s="626">
        <v>0</v>
      </c>
      <c r="X30" s="626">
        <v>1500</v>
      </c>
      <c r="Y30" s="626" t="s">
        <v>50</v>
      </c>
      <c r="Z30" s="628" t="s">
        <v>155</v>
      </c>
    </row>
    <row r="31" spans="1:26" s="580" customFormat="1" ht="25.5">
      <c r="A31" s="579"/>
      <c r="B31" s="770">
        <v>13013</v>
      </c>
      <c r="C31" s="770">
        <v>2230</v>
      </c>
      <c r="D31" s="627"/>
      <c r="E31" s="626"/>
      <c r="F31" s="626" t="s">
        <v>908</v>
      </c>
      <c r="G31" s="626" t="s">
        <v>899</v>
      </c>
      <c r="H31" s="626" t="s">
        <v>900</v>
      </c>
      <c r="I31" s="626" t="s">
        <v>909</v>
      </c>
      <c r="J31" s="769">
        <v>41716</v>
      </c>
      <c r="K31" s="769">
        <v>42123</v>
      </c>
      <c r="L31" s="626" t="s">
        <v>901</v>
      </c>
      <c r="M31" s="626">
        <v>9.6999999999999993</v>
      </c>
      <c r="N31" s="626">
        <v>29.099999999999994</v>
      </c>
      <c r="O31" s="626">
        <v>41.571428571428562</v>
      </c>
      <c r="P31" s="626">
        <v>0</v>
      </c>
      <c r="Q31" s="626">
        <v>83.142857142857139</v>
      </c>
      <c r="R31" s="626">
        <v>0</v>
      </c>
      <c r="S31" s="626">
        <v>0</v>
      </c>
      <c r="T31" s="626">
        <v>0</v>
      </c>
      <c r="U31" s="626">
        <v>0</v>
      </c>
      <c r="V31" s="626">
        <v>0</v>
      </c>
      <c r="W31" s="626">
        <v>0</v>
      </c>
      <c r="X31" s="626">
        <v>10</v>
      </c>
      <c r="Y31" s="626" t="s">
        <v>111</v>
      </c>
      <c r="Z31" s="628" t="s">
        <v>111</v>
      </c>
    </row>
    <row r="32" spans="1:26" s="564" customFormat="1">
      <c r="A32" s="582" t="s">
        <v>279</v>
      </c>
      <c r="B32" s="583"/>
      <c r="C32" s="583"/>
      <c r="D32" s="583"/>
      <c r="E32" s="583"/>
      <c r="F32" s="583"/>
      <c r="G32" s="583"/>
      <c r="H32" s="583"/>
      <c r="I32" s="583"/>
      <c r="J32" s="583"/>
      <c r="K32" s="583"/>
      <c r="L32" s="584"/>
      <c r="M32" s="584">
        <f>SUM(M28:M31)</f>
        <v>4127.7</v>
      </c>
      <c r="N32" s="584">
        <f>SUM(N28:N31)</f>
        <v>18560.099999999999</v>
      </c>
      <c r="O32" s="584">
        <f>SUM(O28:O31)</f>
        <v>26514.428571428572</v>
      </c>
      <c r="P32" s="584">
        <f>SUM(P28:P31)</f>
        <v>20982.857142857145</v>
      </c>
      <c r="Q32" s="584">
        <f>SUM(Q28:Q31)</f>
        <v>32046.000000000007</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0</v>
      </c>
      <c r="N33" s="584">
        <f>SUMIF($Z$28:$Z$31,"industrie",N28:N31)</f>
        <v>0</v>
      </c>
      <c r="O33" s="584">
        <f>SUMIF($Z$28:$Z$31,"industrie",O28:O31)</f>
        <v>0</v>
      </c>
      <c r="P33" s="584">
        <f>SUMIF($Z$28:$Z$31,"industrie",P28:P31)</f>
        <v>0</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70</v>
      </c>
      <c r="N34" s="584">
        <f ca="1">SUMIF($Z$28:AD31,"tertiair",N28:N31)</f>
        <v>315.00000000000006</v>
      </c>
      <c r="O34" s="584">
        <f ca="1">SUMIF($Z$28:AE31,"tertiair",O28:O31)</f>
        <v>450.00000000000011</v>
      </c>
      <c r="P34" s="584">
        <f ca="1">SUMIF($Z$28:AF31,"tertiair",P28:P31)</f>
        <v>900.00000000000023</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4057.7</v>
      </c>
      <c r="N35" s="589">
        <f>SUMIF($Z$28:$Z$31,"landbouw",N28:N31)</f>
        <v>18245.099999999999</v>
      </c>
      <c r="O35" s="589">
        <f>SUMIF($Z$28:$Z$31,"landbouw",O28:O31)</f>
        <v>26064.428571428572</v>
      </c>
      <c r="P35" s="589">
        <f>SUMIF($Z$28:$Z$31,"landbouw",P28:P31)</f>
        <v>20082.857142857145</v>
      </c>
      <c r="Q35" s="589">
        <f>SUMIF($Z$28:$Z$31,"landbouw",Q28:Q31)</f>
        <v>32046.000000000007</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536</v>
      </c>
      <c r="Q37" s="624" t="s">
        <v>102</v>
      </c>
      <c r="R37" s="624" t="s">
        <v>103</v>
      </c>
      <c r="S37" s="624" t="s">
        <v>104</v>
      </c>
      <c r="T37" s="624" t="s">
        <v>105</v>
      </c>
      <c r="U37" s="624" t="s">
        <v>106</v>
      </c>
      <c r="V37" s="624" t="s">
        <v>107</v>
      </c>
      <c r="W37" s="623" t="s">
        <v>108</v>
      </c>
      <c r="X37" s="623" t="s">
        <v>298</v>
      </c>
      <c r="Y37" s="623" t="s">
        <v>109</v>
      </c>
      <c r="Z37" s="625" t="s">
        <v>299</v>
      </c>
    </row>
    <row r="38" spans="1:27" s="595" customFormat="1" ht="63.75">
      <c r="A38" s="581"/>
      <c r="B38" s="770">
        <v>13013</v>
      </c>
      <c r="C38" s="770">
        <v>2230</v>
      </c>
      <c r="D38" s="629" t="s">
        <v>910</v>
      </c>
      <c r="E38" s="629" t="s">
        <v>911</v>
      </c>
      <c r="F38" s="629" t="s">
        <v>912</v>
      </c>
      <c r="G38" s="629" t="s">
        <v>913</v>
      </c>
      <c r="H38" s="629" t="s">
        <v>914</v>
      </c>
      <c r="I38" s="629" t="s">
        <v>915</v>
      </c>
      <c r="J38" s="769">
        <v>38796</v>
      </c>
      <c r="K38" s="769">
        <v>39052</v>
      </c>
      <c r="L38" s="629" t="s">
        <v>916</v>
      </c>
      <c r="M38" s="629">
        <v>298</v>
      </c>
      <c r="N38" s="629">
        <v>1341</v>
      </c>
      <c r="O38" s="629">
        <v>0</v>
      </c>
      <c r="P38" s="629">
        <v>0</v>
      </c>
      <c r="Q38" s="629">
        <v>3831.4285714285716</v>
      </c>
      <c r="R38" s="629">
        <v>0</v>
      </c>
      <c r="S38" s="629">
        <v>0</v>
      </c>
      <c r="T38" s="629">
        <v>0</v>
      </c>
      <c r="U38" s="629">
        <v>0</v>
      </c>
      <c r="V38" s="629">
        <v>0</v>
      </c>
      <c r="W38" s="629">
        <v>0</v>
      </c>
      <c r="X38" s="629">
        <v>1600</v>
      </c>
      <c r="Y38" s="629" t="s">
        <v>49</v>
      </c>
      <c r="Z38" s="630" t="s">
        <v>155</v>
      </c>
    </row>
    <row r="39" spans="1:27" s="564" customFormat="1">
      <c r="A39" s="582" t="s">
        <v>279</v>
      </c>
      <c r="B39" s="583"/>
      <c r="C39" s="583"/>
      <c r="D39" s="583"/>
      <c r="E39" s="583"/>
      <c r="F39" s="583"/>
      <c r="G39" s="583"/>
      <c r="H39" s="583"/>
      <c r="I39" s="583"/>
      <c r="J39" s="583"/>
      <c r="K39" s="583"/>
      <c r="L39" s="584"/>
      <c r="M39" s="584">
        <f>SUM(M38:M38)</f>
        <v>298</v>
      </c>
      <c r="N39" s="584">
        <f>SUM(N38:N38)</f>
        <v>1341</v>
      </c>
      <c r="O39" s="584">
        <f>SUM(O38:O38)</f>
        <v>0</v>
      </c>
      <c r="P39" s="584">
        <f>SUM(P38:P38)</f>
        <v>0</v>
      </c>
      <c r="Q39" s="584">
        <f>SUM(Q38:Q38)</f>
        <v>3831.4285714285716</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298</v>
      </c>
      <c r="N41" s="584">
        <f>SUMIF($Z$38:$Z$39,"tertiair",N38:N39)</f>
        <v>1341</v>
      </c>
      <c r="O41" s="584">
        <f>SUMIF($Z$38:$Z$39,"tertiair",O38:O39)</f>
        <v>0</v>
      </c>
      <c r="P41" s="584">
        <f>SUMIF($Z$38:$Z$39,"tertiair",P38:P39)</f>
        <v>0</v>
      </c>
      <c r="Q41" s="584">
        <f>SUMIF($Z$38:$Z$39,"tertiair",Q38:Q39)</f>
        <v>3831.4285714285716</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0.58823529411764708</v>
      </c>
      <c r="C48" s="609">
        <f>IF(ISERROR(N32/(O32+N32)),0,N32/(N32+O32))</f>
        <v>0.41176470588235292</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536</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8640</v>
      </c>
      <c r="C51" s="618">
        <f t="shared" si="2"/>
        <v>13195.411764705885</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12342.857142857145</v>
      </c>
      <c r="C52" s="621">
        <f t="shared" si="3"/>
        <v>18850.588235294123</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25909.436638734616</v>
      </c>
      <c r="C4" s="451">
        <f>huishoudens!C8</f>
        <v>0</v>
      </c>
      <c r="D4" s="451">
        <f>huishoudens!D8</f>
        <v>29056.990393815999</v>
      </c>
      <c r="E4" s="451">
        <f>huishoudens!E8</f>
        <v>33769.981033004049</v>
      </c>
      <c r="F4" s="451">
        <f>huishoudens!F8</f>
        <v>50456.730064184958</v>
      </c>
      <c r="G4" s="451">
        <f>huishoudens!G8</f>
        <v>0</v>
      </c>
      <c r="H4" s="451">
        <f>huishoudens!H8</f>
        <v>0</v>
      </c>
      <c r="I4" s="451">
        <f>huishoudens!I8</f>
        <v>0</v>
      </c>
      <c r="J4" s="451">
        <f>huishoudens!J8</f>
        <v>906.14026743587658</v>
      </c>
      <c r="K4" s="451">
        <f>huishoudens!K8</f>
        <v>0</v>
      </c>
      <c r="L4" s="451">
        <f>huishoudens!L8</f>
        <v>0</v>
      </c>
      <c r="M4" s="451">
        <f>huishoudens!M8</f>
        <v>0</v>
      </c>
      <c r="N4" s="451">
        <f>huishoudens!N8</f>
        <v>23199.257748670261</v>
      </c>
      <c r="O4" s="451">
        <f>huishoudens!O8</f>
        <v>236.06333333333336</v>
      </c>
      <c r="P4" s="452">
        <f>huishoudens!P8</f>
        <v>1182.1333333333332</v>
      </c>
      <c r="Q4" s="453">
        <f>SUM(B4:P4)</f>
        <v>164716.7328125124</v>
      </c>
    </row>
    <row r="5" spans="1:17">
      <c r="A5" s="450" t="s">
        <v>155</v>
      </c>
      <c r="B5" s="451">
        <f ca="1">tertiair!B16</f>
        <v>11212.337109890001</v>
      </c>
      <c r="C5" s="451">
        <f ca="1">tertiair!C16</f>
        <v>450.00000000000011</v>
      </c>
      <c r="D5" s="451">
        <f ca="1">tertiair!D16</f>
        <v>8765.682491678861</v>
      </c>
      <c r="E5" s="451">
        <f>tertiair!E16</f>
        <v>211.24657271820573</v>
      </c>
      <c r="F5" s="451">
        <f ca="1">tertiair!F16</f>
        <v>2506.6022430954231</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1.5633333333333335</v>
      </c>
      <c r="P5" s="452">
        <f>tertiair!P16</f>
        <v>19.066666666666666</v>
      </c>
      <c r="Q5" s="450">
        <f t="shared" ref="Q5:Q14" ca="1" si="0">SUM(B5:P5)</f>
        <v>23166.498417382489</v>
      </c>
    </row>
    <row r="6" spans="1:17">
      <c r="A6" s="450" t="s">
        <v>193</v>
      </c>
      <c r="B6" s="451">
        <f>'openbare verlichting'!B8</f>
        <v>913.577</v>
      </c>
      <c r="C6" s="451"/>
      <c r="D6" s="451"/>
      <c r="E6" s="451"/>
      <c r="F6" s="451"/>
      <c r="G6" s="451"/>
      <c r="H6" s="451"/>
      <c r="I6" s="451"/>
      <c r="J6" s="451"/>
      <c r="K6" s="451"/>
      <c r="L6" s="451"/>
      <c r="M6" s="451"/>
      <c r="N6" s="451"/>
      <c r="O6" s="451"/>
      <c r="P6" s="452"/>
      <c r="Q6" s="450">
        <f t="shared" si="0"/>
        <v>913.577</v>
      </c>
    </row>
    <row r="7" spans="1:17">
      <c r="A7" s="450" t="s">
        <v>111</v>
      </c>
      <c r="B7" s="451">
        <f>landbouw!B8</f>
        <v>1291.8593822649998</v>
      </c>
      <c r="C7" s="451">
        <f>landbouw!C8</f>
        <v>26064.428571428572</v>
      </c>
      <c r="D7" s="451">
        <f>landbouw!D8</f>
        <v>0</v>
      </c>
      <c r="E7" s="451">
        <f>landbouw!E8</f>
        <v>33.312093302054905</v>
      </c>
      <c r="F7" s="451">
        <f>landbouw!F8</f>
        <v>4721.9920648468496</v>
      </c>
      <c r="G7" s="451">
        <f>landbouw!G8</f>
        <v>0</v>
      </c>
      <c r="H7" s="451">
        <f>landbouw!H8</f>
        <v>0</v>
      </c>
      <c r="I7" s="451">
        <f>landbouw!I8</f>
        <v>0</v>
      </c>
      <c r="J7" s="451">
        <f>landbouw!J8</f>
        <v>185.98022785807666</v>
      </c>
      <c r="K7" s="451">
        <f>landbouw!K8</f>
        <v>0</v>
      </c>
      <c r="L7" s="451">
        <f>landbouw!L8</f>
        <v>0</v>
      </c>
      <c r="M7" s="451">
        <f>landbouw!M8</f>
        <v>0</v>
      </c>
      <c r="N7" s="451">
        <f>landbouw!N8</f>
        <v>0</v>
      </c>
      <c r="O7" s="451">
        <f>landbouw!O8</f>
        <v>0</v>
      </c>
      <c r="P7" s="452">
        <f>landbouw!P8</f>
        <v>0</v>
      </c>
      <c r="Q7" s="450">
        <f t="shared" si="0"/>
        <v>32297.572339700553</v>
      </c>
    </row>
    <row r="8" spans="1:17">
      <c r="A8" s="450" t="s">
        <v>637</v>
      </c>
      <c r="B8" s="451">
        <f>industrie!B18</f>
        <v>4470.6245530942997</v>
      </c>
      <c r="C8" s="451">
        <f>industrie!C18</f>
        <v>0</v>
      </c>
      <c r="D8" s="451">
        <f>industrie!D18</f>
        <v>6936.8723025150575</v>
      </c>
      <c r="E8" s="451">
        <f>industrie!E18</f>
        <v>316.64338566390597</v>
      </c>
      <c r="F8" s="451">
        <f>industrie!F18</f>
        <v>1570.6417408442001</v>
      </c>
      <c r="G8" s="451">
        <f>industrie!G18</f>
        <v>0</v>
      </c>
      <c r="H8" s="451">
        <f>industrie!H18</f>
        <v>0</v>
      </c>
      <c r="I8" s="451">
        <f>industrie!I18</f>
        <v>0</v>
      </c>
      <c r="J8" s="451">
        <f>industrie!J18</f>
        <v>2.380405777400048</v>
      </c>
      <c r="K8" s="451">
        <f>industrie!K18</f>
        <v>0</v>
      </c>
      <c r="L8" s="451">
        <f>industrie!L18</f>
        <v>0</v>
      </c>
      <c r="M8" s="451">
        <f>industrie!M18</f>
        <v>0</v>
      </c>
      <c r="N8" s="451">
        <f>industrie!N18</f>
        <v>1320.4459882541323</v>
      </c>
      <c r="O8" s="451">
        <f>industrie!O18</f>
        <v>0</v>
      </c>
      <c r="P8" s="452">
        <f>industrie!P18</f>
        <v>0</v>
      </c>
      <c r="Q8" s="450">
        <f t="shared" si="0"/>
        <v>14617.608376148995</v>
      </c>
    </row>
    <row r="9" spans="1:17" s="456" customFormat="1">
      <c r="A9" s="454" t="s">
        <v>563</v>
      </c>
      <c r="B9" s="455">
        <f>transport!B14</f>
        <v>22.529726945633264</v>
      </c>
      <c r="C9" s="455">
        <f>transport!C14</f>
        <v>0</v>
      </c>
      <c r="D9" s="455">
        <f>transport!D14</f>
        <v>42.565944095826225</v>
      </c>
      <c r="E9" s="455">
        <f>transport!E14</f>
        <v>191.20058397969598</v>
      </c>
      <c r="F9" s="455">
        <f>transport!F14</f>
        <v>0</v>
      </c>
      <c r="G9" s="455">
        <f>transport!G14</f>
        <v>66054.363903542646</v>
      </c>
      <c r="H9" s="455">
        <f>transport!H14</f>
        <v>14569.510848078393</v>
      </c>
      <c r="I9" s="455">
        <f>transport!I14</f>
        <v>0</v>
      </c>
      <c r="J9" s="455">
        <f>transport!J14</f>
        <v>0</v>
      </c>
      <c r="K9" s="455">
        <f>transport!K14</f>
        <v>0</v>
      </c>
      <c r="L9" s="455">
        <f>transport!L14</f>
        <v>0</v>
      </c>
      <c r="M9" s="455">
        <f>transport!M14</f>
        <v>2514.7184244616114</v>
      </c>
      <c r="N9" s="455">
        <f>transport!N14</f>
        <v>0</v>
      </c>
      <c r="O9" s="455">
        <f>transport!O14</f>
        <v>0</v>
      </c>
      <c r="P9" s="455">
        <f>transport!P14</f>
        <v>0</v>
      </c>
      <c r="Q9" s="454">
        <f>SUM(B9:P9)</f>
        <v>83394.889431103802</v>
      </c>
    </row>
    <row r="10" spans="1:17">
      <c r="A10" s="450" t="s">
        <v>553</v>
      </c>
      <c r="B10" s="451">
        <f>transport!B54</f>
        <v>0</v>
      </c>
      <c r="C10" s="451">
        <f>transport!C54</f>
        <v>0</v>
      </c>
      <c r="D10" s="451">
        <f>transport!D54</f>
        <v>0</v>
      </c>
      <c r="E10" s="451">
        <f>transport!E54</f>
        <v>0</v>
      </c>
      <c r="F10" s="451">
        <f>transport!F54</f>
        <v>0</v>
      </c>
      <c r="G10" s="451">
        <f>transport!G54</f>
        <v>1175.6703672472629</v>
      </c>
      <c r="H10" s="451">
        <f>transport!H54</f>
        <v>0</v>
      </c>
      <c r="I10" s="451">
        <f>transport!I54</f>
        <v>0</v>
      </c>
      <c r="J10" s="451">
        <f>transport!J54</f>
        <v>0</v>
      </c>
      <c r="K10" s="451">
        <f>transport!K54</f>
        <v>0</v>
      </c>
      <c r="L10" s="451">
        <f>transport!L54</f>
        <v>0</v>
      </c>
      <c r="M10" s="451">
        <f>transport!M54</f>
        <v>36.420630297946865</v>
      </c>
      <c r="N10" s="451">
        <f>transport!N54</f>
        <v>0</v>
      </c>
      <c r="O10" s="451">
        <f>transport!O54</f>
        <v>0</v>
      </c>
      <c r="P10" s="452">
        <f>transport!P54</f>
        <v>0</v>
      </c>
      <c r="Q10" s="450">
        <f t="shared" si="0"/>
        <v>1212.0909975452098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891.86355314000002</v>
      </c>
      <c r="C14" s="458"/>
      <c r="D14" s="458">
        <f>'SEAP template'!E25</f>
        <v>927.26107129999991</v>
      </c>
      <c r="E14" s="458"/>
      <c r="F14" s="458"/>
      <c r="G14" s="458"/>
      <c r="H14" s="458"/>
      <c r="I14" s="458"/>
      <c r="J14" s="458"/>
      <c r="K14" s="458"/>
      <c r="L14" s="458"/>
      <c r="M14" s="458"/>
      <c r="N14" s="458"/>
      <c r="O14" s="458"/>
      <c r="P14" s="459"/>
      <c r="Q14" s="450">
        <f t="shared" si="0"/>
        <v>1819.1246244399999</v>
      </c>
    </row>
    <row r="15" spans="1:17" s="460" customFormat="1">
      <c r="A15" s="1004" t="s">
        <v>557</v>
      </c>
      <c r="B15" s="944">
        <f ca="1">SUM(B4:B14)</f>
        <v>44712.227964069549</v>
      </c>
      <c r="C15" s="944">
        <f t="shared" ref="C15:Q15" ca="1" si="1">SUM(C4:C14)</f>
        <v>26514.428571428572</v>
      </c>
      <c r="D15" s="944">
        <f t="shared" ca="1" si="1"/>
        <v>45729.372203405743</v>
      </c>
      <c r="E15" s="944">
        <f t="shared" si="1"/>
        <v>34522.383668667913</v>
      </c>
      <c r="F15" s="944">
        <f t="shared" ca="1" si="1"/>
        <v>59255.96611297143</v>
      </c>
      <c r="G15" s="944">
        <f t="shared" si="1"/>
        <v>67230.034270789911</v>
      </c>
      <c r="H15" s="944">
        <f t="shared" si="1"/>
        <v>14569.510848078393</v>
      </c>
      <c r="I15" s="944">
        <f t="shared" si="1"/>
        <v>0</v>
      </c>
      <c r="J15" s="944">
        <f t="shared" si="1"/>
        <v>1094.5009010713534</v>
      </c>
      <c r="K15" s="944">
        <f t="shared" si="1"/>
        <v>0</v>
      </c>
      <c r="L15" s="944">
        <f t="shared" ca="1" si="1"/>
        <v>0</v>
      </c>
      <c r="M15" s="944">
        <f t="shared" si="1"/>
        <v>2551.1390547595583</v>
      </c>
      <c r="N15" s="944">
        <f t="shared" ca="1" si="1"/>
        <v>24519.703736924392</v>
      </c>
      <c r="O15" s="944">
        <f t="shared" si="1"/>
        <v>237.62666666666669</v>
      </c>
      <c r="P15" s="944">
        <f t="shared" si="1"/>
        <v>1201.1999999999998</v>
      </c>
      <c r="Q15" s="944">
        <f t="shared" ca="1" si="1"/>
        <v>322138.09399883344</v>
      </c>
    </row>
    <row r="17" spans="1:17">
      <c r="A17" s="461" t="s">
        <v>558</v>
      </c>
      <c r="B17" s="760">
        <f ca="1">huishoudens!B10</f>
        <v>0.13412449463862622</v>
      </c>
      <c r="C17" s="760">
        <f ca="1">huishoudens!C10</f>
        <v>9.4033976110042536E-2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3475.0900955417869</v>
      </c>
      <c r="C22" s="451">
        <f t="shared" ref="C22:C32" ca="1" si="3">C4*$C$17</f>
        <v>0</v>
      </c>
      <c r="D22" s="451">
        <f t="shared" ref="D22:D32" si="4">D4*$D$17</f>
        <v>5869.5120595508324</v>
      </c>
      <c r="E22" s="451">
        <f t="shared" ref="E22:E32" si="5">E4*$E$17</f>
        <v>7665.7856944919195</v>
      </c>
      <c r="F22" s="451">
        <f t="shared" ref="F22:F32" si="6">F4*$F$17</f>
        <v>13471.946927137384</v>
      </c>
      <c r="G22" s="451">
        <f t="shared" ref="G22:G32" si="7">G4*$G$17</f>
        <v>0</v>
      </c>
      <c r="H22" s="451">
        <f t="shared" ref="H22:H32" si="8">H4*$H$17</f>
        <v>0</v>
      </c>
      <c r="I22" s="451">
        <f t="shared" ref="I22:I32" si="9">I4*$I$17</f>
        <v>0</v>
      </c>
      <c r="J22" s="451">
        <f t="shared" ref="J22:J32" si="10">J4*$J$17</f>
        <v>320.77365467230027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30803.108431394223</v>
      </c>
    </row>
    <row r="23" spans="1:17">
      <c r="A23" s="450" t="s">
        <v>155</v>
      </c>
      <c r="B23" s="451">
        <f t="shared" ca="1" si="2"/>
        <v>1503.8490485819111</v>
      </c>
      <c r="C23" s="451">
        <f t="shared" ca="1" si="3"/>
        <v>42.315289249519154</v>
      </c>
      <c r="D23" s="451">
        <f t="shared" ca="1" si="4"/>
        <v>1770.66786331913</v>
      </c>
      <c r="E23" s="451">
        <f t="shared" si="5"/>
        <v>47.952972007032699</v>
      </c>
      <c r="F23" s="451">
        <f t="shared" ca="1" si="6"/>
        <v>669.262798906478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4034.047972064071</v>
      </c>
    </row>
    <row r="24" spans="1:17">
      <c r="A24" s="450" t="s">
        <v>193</v>
      </c>
      <c r="B24" s="451">
        <f t="shared" ca="1" si="2"/>
        <v>122.53305343847222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122.53305343847222</v>
      </c>
    </row>
    <row r="25" spans="1:17">
      <c r="A25" s="450" t="s">
        <v>111</v>
      </c>
      <c r="B25" s="451">
        <f t="shared" ca="1" si="2"/>
        <v>173.26998679046093</v>
      </c>
      <c r="C25" s="451">
        <f t="shared" ca="1" si="3"/>
        <v>2450.9418536076246</v>
      </c>
      <c r="D25" s="451">
        <f t="shared" si="4"/>
        <v>0</v>
      </c>
      <c r="E25" s="451">
        <f t="shared" si="5"/>
        <v>7.5618451795664638</v>
      </c>
      <c r="F25" s="451">
        <f t="shared" si="6"/>
        <v>1260.7718813141089</v>
      </c>
      <c r="G25" s="451">
        <f t="shared" si="7"/>
        <v>0</v>
      </c>
      <c r="H25" s="451">
        <f t="shared" si="8"/>
        <v>0</v>
      </c>
      <c r="I25" s="451">
        <f t="shared" si="9"/>
        <v>0</v>
      </c>
      <c r="J25" s="451">
        <f t="shared" si="10"/>
        <v>65.837000661759134</v>
      </c>
      <c r="K25" s="451">
        <f t="shared" si="11"/>
        <v>0</v>
      </c>
      <c r="L25" s="451">
        <f t="shared" si="12"/>
        <v>0</v>
      </c>
      <c r="M25" s="451">
        <f t="shared" si="13"/>
        <v>0</v>
      </c>
      <c r="N25" s="451">
        <f t="shared" si="14"/>
        <v>0</v>
      </c>
      <c r="O25" s="451">
        <f t="shared" si="15"/>
        <v>0</v>
      </c>
      <c r="P25" s="452">
        <f t="shared" si="16"/>
        <v>0</v>
      </c>
      <c r="Q25" s="450">
        <f t="shared" ca="1" si="17"/>
        <v>3958.3825675535195</v>
      </c>
    </row>
    <row r="26" spans="1:17">
      <c r="A26" s="450" t="s">
        <v>637</v>
      </c>
      <c r="B26" s="451">
        <f t="shared" ca="1" si="2"/>
        <v>599.62025890280711</v>
      </c>
      <c r="C26" s="451">
        <f t="shared" ca="1" si="3"/>
        <v>0</v>
      </c>
      <c r="D26" s="451">
        <f t="shared" si="4"/>
        <v>1401.2482051080417</v>
      </c>
      <c r="E26" s="451">
        <f t="shared" si="5"/>
        <v>71.878048545706662</v>
      </c>
      <c r="F26" s="451">
        <f t="shared" si="6"/>
        <v>419.36134480540142</v>
      </c>
      <c r="G26" s="451">
        <f t="shared" si="7"/>
        <v>0</v>
      </c>
      <c r="H26" s="451">
        <f t="shared" si="8"/>
        <v>0</v>
      </c>
      <c r="I26" s="451">
        <f t="shared" si="9"/>
        <v>0</v>
      </c>
      <c r="J26" s="451">
        <f t="shared" si="10"/>
        <v>0.8426636451996169</v>
      </c>
      <c r="K26" s="451">
        <f t="shared" si="11"/>
        <v>0</v>
      </c>
      <c r="L26" s="451">
        <f t="shared" si="12"/>
        <v>0</v>
      </c>
      <c r="M26" s="451">
        <f t="shared" si="13"/>
        <v>0</v>
      </c>
      <c r="N26" s="451">
        <f t="shared" si="14"/>
        <v>0</v>
      </c>
      <c r="O26" s="451">
        <f t="shared" si="15"/>
        <v>0</v>
      </c>
      <c r="P26" s="452">
        <f t="shared" si="16"/>
        <v>0</v>
      </c>
      <c r="Q26" s="450">
        <f t="shared" ca="1" si="17"/>
        <v>2492.9505210071566</v>
      </c>
    </row>
    <row r="27" spans="1:17" s="456" customFormat="1">
      <c r="A27" s="454" t="s">
        <v>563</v>
      </c>
      <c r="B27" s="754">
        <f t="shared" ca="1" si="2"/>
        <v>3.0217882409293013</v>
      </c>
      <c r="C27" s="455">
        <f t="shared" ca="1" si="3"/>
        <v>0</v>
      </c>
      <c r="D27" s="455">
        <f t="shared" si="4"/>
        <v>8.5983207073568977</v>
      </c>
      <c r="E27" s="455">
        <f t="shared" si="5"/>
        <v>43.402532563390992</v>
      </c>
      <c r="F27" s="455">
        <f t="shared" si="6"/>
        <v>0</v>
      </c>
      <c r="G27" s="455">
        <f t="shared" si="7"/>
        <v>17636.515162245887</v>
      </c>
      <c r="H27" s="455">
        <f t="shared" si="8"/>
        <v>3627.8082011715196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21319.346004929084</v>
      </c>
    </row>
    <row r="28" spans="1:17">
      <c r="A28" s="450" t="s">
        <v>553</v>
      </c>
      <c r="B28" s="451">
        <f t="shared" ca="1" si="2"/>
        <v>0</v>
      </c>
      <c r="C28" s="451">
        <f t="shared" ca="1" si="3"/>
        <v>0</v>
      </c>
      <c r="D28" s="451">
        <f t="shared" si="4"/>
        <v>0</v>
      </c>
      <c r="E28" s="451">
        <f t="shared" si="5"/>
        <v>0</v>
      </c>
      <c r="F28" s="451">
        <f t="shared" si="6"/>
        <v>0</v>
      </c>
      <c r="G28" s="451">
        <f t="shared" si="7"/>
        <v>313.90398805501923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313.90398805501923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119.62074835151206</v>
      </c>
      <c r="C32" s="451">
        <f t="shared" ca="1" si="3"/>
        <v>0</v>
      </c>
      <c r="D32" s="451">
        <f t="shared" si="4"/>
        <v>187.3067364026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306.92748475411207</v>
      </c>
    </row>
    <row r="33" spans="1:17" s="460" customFormat="1">
      <c r="A33" s="1004" t="s">
        <v>557</v>
      </c>
      <c r="B33" s="944">
        <f ca="1">SUM(B22:B32)</f>
        <v>5997.0049798478803</v>
      </c>
      <c r="C33" s="944">
        <f t="shared" ref="C33:Q33" ca="1" si="18">SUM(C22:C32)</f>
        <v>2493.2571428571437</v>
      </c>
      <c r="D33" s="944">
        <f t="shared" ca="1" si="18"/>
        <v>9237.3331850879604</v>
      </c>
      <c r="E33" s="944">
        <f t="shared" si="18"/>
        <v>7836.5810927876155</v>
      </c>
      <c r="F33" s="944">
        <f t="shared" ca="1" si="18"/>
        <v>15821.342952163373</v>
      </c>
      <c r="G33" s="944">
        <f t="shared" si="18"/>
        <v>17950.419150300906</v>
      </c>
      <c r="H33" s="944">
        <f t="shared" si="18"/>
        <v>3627.8082011715196</v>
      </c>
      <c r="I33" s="944">
        <f t="shared" si="18"/>
        <v>0</v>
      </c>
      <c r="J33" s="944">
        <f t="shared" si="18"/>
        <v>387.453318979259</v>
      </c>
      <c r="K33" s="944">
        <f t="shared" si="18"/>
        <v>0</v>
      </c>
      <c r="L33" s="944">
        <f t="shared" ca="1" si="18"/>
        <v>0</v>
      </c>
      <c r="M33" s="944">
        <f t="shared" si="18"/>
        <v>0</v>
      </c>
      <c r="N33" s="944">
        <f t="shared" ca="1" si="18"/>
        <v>0</v>
      </c>
      <c r="O33" s="944">
        <f t="shared" si="18"/>
        <v>0</v>
      </c>
      <c r="P33" s="944">
        <f t="shared" si="18"/>
        <v>0</v>
      </c>
      <c r="Q33" s="944">
        <f t="shared" ca="1" si="18"/>
        <v>63351.200023195655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5572.5533946221267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11216.1</v>
      </c>
      <c r="C8" s="1021">
        <f>'SEAP template'!C76</f>
        <v>7343.9999999999991</v>
      </c>
      <c r="D8" s="1021">
        <f>'SEAP template'!D76</f>
        <v>8640</v>
      </c>
      <c r="E8" s="1021">
        <f>'SEAP template'!E76</f>
        <v>0</v>
      </c>
      <c r="F8" s="1021">
        <f>'SEAP template'!F76</f>
        <v>0</v>
      </c>
      <c r="G8" s="1021">
        <f>'SEAP template'!G76</f>
        <v>0</v>
      </c>
      <c r="H8" s="1021">
        <f>'SEAP template'!H76</f>
        <v>0</v>
      </c>
      <c r="I8" s="1021">
        <f>'SEAP template'!I76</f>
        <v>0</v>
      </c>
      <c r="J8" s="1021">
        <f>'SEAP template'!J76</f>
        <v>13195.411764705885</v>
      </c>
      <c r="K8" s="1021">
        <f>'SEAP template'!K76</f>
        <v>0</v>
      </c>
      <c r="L8" s="1021">
        <f>'SEAP template'!L76</f>
        <v>0</v>
      </c>
      <c r="M8" s="1021">
        <f>'SEAP template'!M76</f>
        <v>0</v>
      </c>
      <c r="N8" s="1021">
        <f>'SEAP template'!N76</f>
        <v>0</v>
      </c>
      <c r="O8" s="1021">
        <f>'SEAP template'!O76</f>
        <v>0</v>
      </c>
      <c r="P8" s="1022">
        <f>'SEAP template'!Q76</f>
        <v>1745.2800000000002</v>
      </c>
    </row>
    <row r="9" spans="1:16">
      <c r="A9" s="1024" t="s">
        <v>849</v>
      </c>
      <c r="B9" s="1021">
        <f>'SEAP template'!B77</f>
        <v>1341</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3831.4285714285716</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18129.653394622128</v>
      </c>
      <c r="C10" s="1025">
        <f>SUM(C4:C9)</f>
        <v>7343.9999999999991</v>
      </c>
      <c r="D10" s="1025">
        <f t="shared" ref="D10:H10" si="0">SUM(D8:D9)</f>
        <v>8640</v>
      </c>
      <c r="E10" s="1025">
        <f t="shared" si="0"/>
        <v>0</v>
      </c>
      <c r="F10" s="1025">
        <f t="shared" si="0"/>
        <v>0</v>
      </c>
      <c r="G10" s="1025">
        <f t="shared" si="0"/>
        <v>0</v>
      </c>
      <c r="H10" s="1025">
        <f t="shared" si="0"/>
        <v>0</v>
      </c>
      <c r="I10" s="1025">
        <f>SUM(I8:I9)</f>
        <v>0</v>
      </c>
      <c r="J10" s="1025">
        <f>SUM(J8:J9)</f>
        <v>17026.840336134457</v>
      </c>
      <c r="K10" s="1025">
        <f t="shared" ref="K10:L10" si="1">SUM(K8:K9)</f>
        <v>0</v>
      </c>
      <c r="L10" s="1025">
        <f t="shared" si="1"/>
        <v>0</v>
      </c>
      <c r="M10" s="1025">
        <f>SUM(M8:M9)</f>
        <v>0</v>
      </c>
      <c r="N10" s="1025">
        <f>SUM(N8:N9)</f>
        <v>0</v>
      </c>
      <c r="O10" s="1025">
        <f>SUM(O8:O9)</f>
        <v>0</v>
      </c>
      <c r="P10" s="1025">
        <f>SUM(P8:P9)</f>
        <v>1745.2800000000002</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0.13412449463862622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16023</v>
      </c>
      <c r="C17" s="1027">
        <f>'SEAP template'!C87</f>
        <v>10491.428571428571</v>
      </c>
      <c r="D17" s="1022">
        <f>'SEAP template'!D87</f>
        <v>12342.857142857145</v>
      </c>
      <c r="E17" s="1022">
        <f>'SEAP template'!E87</f>
        <v>0</v>
      </c>
      <c r="F17" s="1022">
        <f>'SEAP template'!F87</f>
        <v>0</v>
      </c>
      <c r="G17" s="1022">
        <f>'SEAP template'!G87</f>
        <v>0</v>
      </c>
      <c r="H17" s="1022">
        <f>'SEAP template'!H87</f>
        <v>0</v>
      </c>
      <c r="I17" s="1022">
        <f>'SEAP template'!I87</f>
        <v>0</v>
      </c>
      <c r="J17" s="1022">
        <f>'SEAP template'!J87</f>
        <v>18850.588235294123</v>
      </c>
      <c r="K17" s="1022">
        <f>'SEAP template'!K87</f>
        <v>0</v>
      </c>
      <c r="L17" s="1022">
        <f>'SEAP template'!L87</f>
        <v>0</v>
      </c>
      <c r="M17" s="1022">
        <f>'SEAP template'!M87</f>
        <v>0</v>
      </c>
      <c r="N17" s="1022">
        <f>'SEAP template'!N87</f>
        <v>0</v>
      </c>
      <c r="O17" s="1022">
        <f>'SEAP template'!O87</f>
        <v>0</v>
      </c>
      <c r="P17" s="1022">
        <f>'SEAP template'!Q87</f>
        <v>2493.2571428571437</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16023</v>
      </c>
      <c r="C20" s="1025">
        <f>SUM(C17:C19)</f>
        <v>10491.428571428571</v>
      </c>
      <c r="D20" s="1025">
        <f t="shared" ref="D20:H20" si="2">SUM(D17:D19)</f>
        <v>12342.857142857145</v>
      </c>
      <c r="E20" s="1025">
        <f t="shared" si="2"/>
        <v>0</v>
      </c>
      <c r="F20" s="1025">
        <f t="shared" si="2"/>
        <v>0</v>
      </c>
      <c r="G20" s="1025">
        <f t="shared" si="2"/>
        <v>0</v>
      </c>
      <c r="H20" s="1025">
        <f t="shared" si="2"/>
        <v>0</v>
      </c>
      <c r="I20" s="1025">
        <f>SUM(I17:I19)</f>
        <v>0</v>
      </c>
      <c r="J20" s="1025">
        <f>SUM(J17:J19)</f>
        <v>18850.588235294123</v>
      </c>
      <c r="K20" s="1025">
        <f t="shared" ref="K20:L20" si="3">SUM(K17:K19)</f>
        <v>0</v>
      </c>
      <c r="L20" s="1025">
        <f t="shared" si="3"/>
        <v>0</v>
      </c>
      <c r="M20" s="1025">
        <f>SUM(M17:M19)</f>
        <v>0</v>
      </c>
      <c r="N20" s="1025">
        <f>SUM(N17:N19)</f>
        <v>0</v>
      </c>
      <c r="O20" s="1025">
        <f>SUM(O17:O19)</f>
        <v>0</v>
      </c>
      <c r="P20" s="1025">
        <f>SUM(P17:P19)</f>
        <v>2493.2571428571437</v>
      </c>
    </row>
    <row r="22" spans="1:16">
      <c r="A22" s="461" t="s">
        <v>857</v>
      </c>
      <c r="B22" s="760" t="s">
        <v>851</v>
      </c>
      <c r="C22" s="760">
        <f ca="1">'EF ele_warmte'!B22</f>
        <v>9.4033976110042536E-2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0.13412449463862622</v>
      </c>
      <c r="C17" s="498">
        <f ca="1">'EF ele_warmte'!B22</f>
        <v>9.4033976110042536E-2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2020-06-20T15:51:37Z</dcterms:modified>
</cp:coreProperties>
</file>