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B13" i="15"/>
  <c r="C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F49" i="18"/>
  <c r="D48" i="18"/>
  <c r="C49" i="18"/>
  <c r="G49" i="18"/>
  <c r="I17" i="18" s="1"/>
  <c r="D49" i="18"/>
  <c r="J17" i="18" s="1"/>
  <c r="B48" i="18"/>
  <c r="C8" i="18" s="1"/>
  <c r="D76" i="14" s="1"/>
  <c r="D8" i="59" s="1"/>
  <c r="D10" i="59"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H20" i="18"/>
  <c r="M87" i="14"/>
  <c r="M76" i="14"/>
  <c r="H10" i="18"/>
  <c r="K33" i="48"/>
  <c r="H14" i="15"/>
  <c r="H16" i="15" s="1"/>
  <c r="G14" i="15"/>
  <c r="G16" i="15" s="1"/>
  <c r="C10" i="18"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O8" i="48"/>
  <c r="O26" i="48" s="1"/>
  <c r="P13" i="14"/>
  <c r="P16" i="14" s="1"/>
  <c r="P27" i="14" s="1"/>
  <c r="F24" i="14"/>
  <c r="F26" i="14" s="1"/>
  <c r="E7" i="48"/>
  <c r="E25" i="48"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F10" i="14"/>
  <c r="E5" i="48"/>
  <c r="E23" i="48"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K63" i="14" s="1"/>
  <c r="K13" i="14"/>
  <c r="K16" i="14" s="1"/>
  <c r="K27" i="14" s="1"/>
  <c r="J8" i="48"/>
  <c r="E22" i="16"/>
  <c r="F43" i="14" s="1"/>
  <c r="F46" i="14" s="1"/>
  <c r="F61" i="14" s="1"/>
  <c r="F63" i="14" s="1"/>
  <c r="G33" i="48"/>
  <c r="N8" i="48"/>
  <c r="N26" i="48" s="1"/>
  <c r="O13" i="14"/>
  <c r="N22" i="16"/>
  <c r="O43" i="14" s="1"/>
  <c r="G13" i="14"/>
  <c r="R13" i="14" s="1"/>
  <c r="F8" i="48"/>
  <c r="J26" i="48" l="1"/>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<sst xmlns="http://schemas.openxmlformats.org/spreadsheetml/2006/main" count="2407" uniqueCount="896">
  <si>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</si>
  <si>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</si>
  <si>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</si>
  <si>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</si>
  <si>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</si>
  <si>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</si>
  <si>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</si>
  <si>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</si>
  <si>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</si>
  <si>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</si>
  <si>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</si>
  <si>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</si>
  <si>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</si>
  <si>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</si>
  <si>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</si>
  <si>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</si>
  <si>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</si>
  <si>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</si>
  <si>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</si>
  <si>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</si>
  <si>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</si>
  <si>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</si>
  <si>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</si>
  <si>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</si>
  <si>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</si>
  <si>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</si>
  <si>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</si>
  <si>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</si>
  <si>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</si>
  <si>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</si>
  <si>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</si>
  <si>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</si>
  <si>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</si>
  <si>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</si>
  <si>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</si>
  <si>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</si>
  <si>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</si>
  <si>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</si>
  <si>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</si>
  <si>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</si>
  <si>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</si>
  <si>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</si>
  <si>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</si>
  <si>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</si>
  <si>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</si>
  <si>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</si>
  <si>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</si>
  <si>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</si>
  <si>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</si>
  <si>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</si>
  <si>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</si>
  <si>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</si>
  <si>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</si>
  <si>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</si>
  <si>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</si>
  <si>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</si>
  <si>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</si>
  <si>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</si>
  <si>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</si>
  <si>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</si>
  <si>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</si>
  <si>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</si>
  <si>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</si>
  <si>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</si>
  <si>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</si>
  <si>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</si>
  <si>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</si>
  <si>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</si>
  <si>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</si>
  <si>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</si>
  <si>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</si>
  <si>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</si>
  <si>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</si>
  <si>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</si>
  <si>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</si>
  <si>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</si>
  <si>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</si>
  <si>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</si>
  <si>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</si>
  <si>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</si>
  <si>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</si>
  <si>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</si>
  <si>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</si>
  <si>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</si>
  <si>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</si>
  <si>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</si>
  <si>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</si>
  <si>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</si>
  <si>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</si>
  <si>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</si>
  <si>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</si>
  <si>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</si>
  <si>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</si>
  <si>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</si>
  <si>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</si>
  <si>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</si>
  <si>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</si>
  <si>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</si>
  <si>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</si>
  <si>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</si>
  <si>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</si>
  <si>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</si>
  <si>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</si>
  <si>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</si>
  <si>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</si>
  <si>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</si>
  <si>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</si>
  <si>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</si>
  <si>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</si>
  <si>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</si>
  <si>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</si>
  <si>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</si>
  <si>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</si>
  <si>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</si>
  <si>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</si>
  <si>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</si>
  <si>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</si>
  <si>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</si>
  <si>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</si>
  <si>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</si>
  <si>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</si>
  <si>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</si>
  <si>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</si>
  <si>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</si>
  <si>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</si>
  <si>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</si>
  <si>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</si>
  <si>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</si>
  <si>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</si>
  <si>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</si>
  <si>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</si>
  <si>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</si>
  <si>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</si>
  <si>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</si>
  <si>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</si>
  <si>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</si>
  <si>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</si>
  <si>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</si>
  <si>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</si>
  <si>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</si>
  <si>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</si>
  <si>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</si>
  <si>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</si>
  <si>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</si>
  <si>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</si>
  <si>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</si>
  <si>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</si>
  <si>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</si>
  <si>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</si>
  <si>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</si>
  <si>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</si>
  <si>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</si>
  <si>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</si>
  <si>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</si>
  <si>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</si>
  <si>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</si>
  <si>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</si>
  <si>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</si>
  <si>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</si>
  <si>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</si>
  <si>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</si>
  <si>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</si>
  <si>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</si>
  <si>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</si>
  <si>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</si>
  <si>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</si>
  <si>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</si>
  <si>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</si>
  <si>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</si>
  <si>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</si>
  <si>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</si>
  <si>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</si>
  <si>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</si>
  <si>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</si>
  <si>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</si>
  <si>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</si>
  <si>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</si>
  <si>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</si>
  <si>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</si>
  <si>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</si>
  <si>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</si>
  <si>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</si>
  <si>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</si>
  <si>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</si>
  <si>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</si>
  <si>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</si>
  <si>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</si>
  <si>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</si>
  <si>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</si>
  <si>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</si>
  <si>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</si>
  <si>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</si>
  <si>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</si>
  <si>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</si>
  <si>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</si>
  <si>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</si>
  <si>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</si>
  <si>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</si>
  <si>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</si>
  <si>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</si>
  <si>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</si>
  <si>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</si>
  <si>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</si>
  <si>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</si>
  <si>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</si>
  <si>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</si>
  <si>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</si>
  <si>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</si>
  <si>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</si>
  <si>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</si>
  <si>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</si>
  <si>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</si>
  <si>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</si>
  <si>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</si>
  <si>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</si>
  <si>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</si>
  <si>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</si>
  <si>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</si>
  <si>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</si>
  <si>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</si>
  <si>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</si>
  <si>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</si>
  <si>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</si>
  <si>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</si>
  <si>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</si>
  <si>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</si>
  <si>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</si>
  <si>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</si>
  <si>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</si>
  <si>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</si>
  <si>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</si>
  <si>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</si>
  <si>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</si>
  <si>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</si>
  <si>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</si>
  <si>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</si>
  <si>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</si>
  <si>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</si>
  <si>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</si>
  <si>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</si>
  <si>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</si>
  <si>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</si>
  <si>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</si>
  <si>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</si>
  <si>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</si>
  <si>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</si>
  <si>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</si>
  <si>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</si>
  <si>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</si>
  <si>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</si>
  <si>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</si>
  <si>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</si>
  <si>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</si>
  <si>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</si>
  <si>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</si>
  <si>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</si>
  <si>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</si>
  <si>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</si>
  <si>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</si>
  <si>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</si>
  <si>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</si>
  <si>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</si>
  <si>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</si>
  <si>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</si>
  <si>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</si>
  <si>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</si>
  <si>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</si>
  <si>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</si>
  <si>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</si>
  <si>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</si>
  <si>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</si>
  <si>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</si>
  <si>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</si>
  <si>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</si>
  <si>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</si>
  <si>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</si>
  <si>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</si>
  <si>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</si>
  <si>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</si>
  <si>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</si>
  <si>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</si>
  <si>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</si>
  <si>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</si>
  <si>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</si>
  <si>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</si>
  <si>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</si>
  <si>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</si>
  <si>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</si>
  <si>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</si>
  <si>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</si>
  <si>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</si>
  <si>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</si>
  <si>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</si>
  <si>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</si>
  <si>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</si>
  <si>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</si>
  <si>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</si>
  <si>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</si>
  <si>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</si>
  <si>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</si>
  <si>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</si>
  <si>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</si>
  <si>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</si>
  <si>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</si>
  <si>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</si>
  <si>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</si>
  <si>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</si>
  <si>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</si>
  <si>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</si>
  <si>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</si>
  <si>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</si>
  <si>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</si>
  <si>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</si>
  <si>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</si>
  <si>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</si>
  <si>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</si>
  <si>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</si>
  <si>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</si>
  <si>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</si>
  <si>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</si>
  <si>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</si>
  <si>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</si>
  <si>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</si>
  <si>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</si>
  <si>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</si>
  <si>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</si>
  <si>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</si>
  <si>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</si>
  <si>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</si>
  <si>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</si>
  <si>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</si>
  <si>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</si>
  <si>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</si>
  <si>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</si>
  <si>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</si>
  <si>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</si>
  <si>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</si>
  <si>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</si>
  <si>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</si>
  <si>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</si>
  <si>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</si>
  <si>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</si>
  <si>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</si>
  <si>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</si>
  <si>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</si>
  <si>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</si>
  <si>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</si>
  <si>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</si>
  <si>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</si>
  <si>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</si>
  <si>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</si>
  <si>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</si>
  <si>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</si>
  <si>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</si>
  <si>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</si>
  <si>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</si>
  <si>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</si>
  <si>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</si>
  <si>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</si>
  <si>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</si>
  <si>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</si>
  <si>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</si>
  <si>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</si>
  <si>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</si>
  <si>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</si>
  <si>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</si>
  <si>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</si>
  <si>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</si>
  <si>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</si>
  <si>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</si>
  <si>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</si>
  <si>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</si>
  <si>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</si>
  <si>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</si>
  <si>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</si>
  <si>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</si>
  <si>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</si>
  <si>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</si>
  <si>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</si>
  <si>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</si>
  <si>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</si>
  <si>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</si>
  <si>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</si>
  <si>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</si>
  <si>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</si>
  <si>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</si>
  <si>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</si>
  <si>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</si>
  <si>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</si>
  <si>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</si>
  <si>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</si>
  <si>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</si>
  <si>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</si>
  <si>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</si>
  <si>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</si>
  <si>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</si>
  <si>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</si>
  <si>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</si>
  <si>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</si>
  <si>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</si>
  <si>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</si>
  <si>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</si>
  <si>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</si>
  <si>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</si>
  <si>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</si>
  <si>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</si>
  <si>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</si>
  <si>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</si>
  <si>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</si>
  <si>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</si>
  <si>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</si>
  <si>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</si>
  <si>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</si>
  <si>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</si>
  <si>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</si>
  <si>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</si>
  <si>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</si>
  <si>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</si>
  <si>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</si>
  <si>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</si>
  <si>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</si>
  <si>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</si>
  <si>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</si>
  <si>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</si>
  <si>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</si>
  <si>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</si>
  <si>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</si>
  <si>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</si>
  <si>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</si>
  <si>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</si>
  <si>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</si>
  <si>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</si>
  <si>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</si>
  <si>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</si>
  <si>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</si>
  <si>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</si>
  <si>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</si>
  <si>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</si>
  <si>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</si>
  <si>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</si>
  <si>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</si>
  <si>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</si>
  <si>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</si>
  <si>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</si>
  <si>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</si>
  <si>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</si>
  <si>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</si>
  <si>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</si>
  <si>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</si>
  <si>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</si>
  <si>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</si>
  <si>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</si>
  <si>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</si>
  <si>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</si>
  <si>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</si>
  <si>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</si>
  <si>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</si>
  <si>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</si>
  <si>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</si>
  <si>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</si>
  <si>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</si>
  <si>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</si>
  <si>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</si>
  <si>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</si>
  <si>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</si>
  <si>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</si>
  <si>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</si>
  <si>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</si>
  <si>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</si>
  <si>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</si>
  <si>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</si>
  <si>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</si>
  <si>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</si>
  <si>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</si>
  <si>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</si>
  <si>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</si>
  <si>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</si>
  <si>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</si>
  <si>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</si>
  <si>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</si>
  <si>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</si>
  <si>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</si>
  <si>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</si>
  <si>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</si>
  <si>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</si>
  <si>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</si>
  <si>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</si>
  <si>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</si>
  <si>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</si>
  <si>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</si>
  <si>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</si>
  <si>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</si>
  <si>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</si>
  <si>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</si>
  <si>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</si>
  <si>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</si>
  <si>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</si>
  <si>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</si>
  <si>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</si>
  <si>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</si>
  <si>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</si>
  <si>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</si>
  <si>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</si>
  <si>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</si>
  <si>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</si>
  <si>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</si>
  <si>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</si>
  <si>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</si>
  <si>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</si>
  <si>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</si>
  <si>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</si>
  <si>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</si>
  <si>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</si>
  <si>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</si>
  <si>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</si>
  <si>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</si>
  <si>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</si>
  <si>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</si>
  <si>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</si>
  <si>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</si>
  <si>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</si>
  <si>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</si>
  <si>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</si>
  <si>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</si>
  <si>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</si>
  <si>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</si>
  <si>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</si>
  <si>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</si>
  <si>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</si>
  <si>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</si>
  <si>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</si>
  <si>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</si>
  <si>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</si>
  <si>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</si>
  <si>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</si>
  <si>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</si>
  <si>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</si>
  <si>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</si>
  <si>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</si>
  <si>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</si>
  <si>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</si>
  <si>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</si>
  <si>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</si>
  <si>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</si>
  <si>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</si>
  <si>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</si>
  <si>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</si>
  <si>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</si>
  <si>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</si>
  <si>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</si>
  <si>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</si>
  <si>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</si>
  <si>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</si>
  <si>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</si>
  <si>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</si>
  <si>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</si>
  <si>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</si>
  <si>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</si>
  <si>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</si>
  <si>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</si>
  <si>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</si>
  <si>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</si>
  <si>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</si>
  <si>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</si>
  <si>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</si>
  <si>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</si>
  <si>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</si>
  <si>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</si>
  <si>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</si>
  <si>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</si>
  <si>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</si>
  <si>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</si>
  <si>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</si>
  <si>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</si>
  <si>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</si>
  <si>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</si>
  <si>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</si>
  <si>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</si>
  <si>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</si>
  <si>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</si>
  <si>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</si>
  <si>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</si>
  <si>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</si>
  <si>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</si>
  <si>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</si>
  <si>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</si>
  <si>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</si>
  <si>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</si>
  <si>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</si>
  <si>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</si>
  <si>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</si>
  <si>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</si>
  <si>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</si>
  <si>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</si>
  <si>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</si>
  <si>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</si>
  <si>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</si>
  <si>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</si>
  <si>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</si>
  <si>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</si>
  <si>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</si>
  <si>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</si>
  <si>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</si>
  <si>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</si>
  <si>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</si>
  <si>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</si>
  <si>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</si>
  <si>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</si>
  <si>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</si>
  <si>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</si>
  <si>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</si>
  <si>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</si>
  <si>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</si>
  <si>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</si>
  <si>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</si>
  <si>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</si>
  <si>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</si>
  <si>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</si>
  <si>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</si>
  <si>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</si>
  <si>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</si>
  <si>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</si>
  <si>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</si>
  <si>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</si>
  <si>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</si>
  <si>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</si>
  <si>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</si>
  <si>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</si>
  <si>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</si>
  <si>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</si>
  <si>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</si>
  <si>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</si>
  <si>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</si>
  <si>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</si>
  <si>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</si>
  <si>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</si>
  <si>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</si>
  <si>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</si>
  <si>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</si>
  <si>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</si>
  <si>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</si>
  <si>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</si>
  <si>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</si>
  <si>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</si>
  <si>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</si>
  <si>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</si>
  <si>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</si>
  <si>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</si>
  <si>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</si>
  <si>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</si>
  <si>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</si>
  <si>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</si>
  <si>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</si>
  <si>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</si>
  <si>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</si>
  <si>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</si>
  <si>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</si>
  <si>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</si>
  <si>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</si>
  <si>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</si>
  <si>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</si>
  <si>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</si>
  <si>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</si>
  <si>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</si>
  <si>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</si>
  <si>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</si>
  <si>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</si>
  <si>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</si>
  <si>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</si>
  <si>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</si>
  <si>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</si>
  <si>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</si>
  <si>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</si>
  <si>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</si>
  <si>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</si>
  <si>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</si>
  <si>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</si>
  <si>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</si>
  <si>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</si>
  <si>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</si>
  <si>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</si>
  <si>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</si>
  <si>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</si>
  <si>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</si>
  <si>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</si>
  <si>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</si>
  <si>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</si>
  <si>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</si>
  <si>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</si>
  <si>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</si>
  <si>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</si>
  <si>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</si>
  <si>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</si>
  <si>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</si>
  <si>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</si>
  <si>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</si>
  <si>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</si>
  <si>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</si>
  <si>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</si>
  <si>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</si>
  <si>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</si>
  <si>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</si>
  <si>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</si>
  <si>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</si>
  <si>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</si>
  <si>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</si>
  <si>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</si>
  <si>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</si>
  <si>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</si>
  <si>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</si>
  <si>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</si>
  <si>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</si>
  <si>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</si>
  <si>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</si>
  <si>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</si>
  <si>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</si>
  <si>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</si>
  <si>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</si>
  <si>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</si>
  <si>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</si>
  <si>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</si>
  <si>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</si>
  <si>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</si>
  <si>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</si>
  <si>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</si>
  <si>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</si>
  <si>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</si>
  <si>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</si>
  <si>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</si>
  <si>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</si>
  <si>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</si>
  <si>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</si>
  <si>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</si>
  <si>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</si>
  <si>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</si>
  <si>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</si>
  <si>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</si>
  <si>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</si>
  <si>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</si>
  <si>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</si>
  <si>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</si>
  <si>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</si>
  <si>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</si>
  <si>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</si>
  <si>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</si>
  <si>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</si>
  <si>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</si>
  <si>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</si>
  <si>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</si>
  <si>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</si>
  <si>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</si>
  <si>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</si>
  <si>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</si>
  <si>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</si>
  <si>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</si>
  <si>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</si>
  <si>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</si>
  <si>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</si>
  <si>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</si>
  <si>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</si>
  <si>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</si>
  <si>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</si>
  <si>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</si>
  <si>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</si>
  <si>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</si>
  <si>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</si>
  <si>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</si>
  <si>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</si>
  <si>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</si>
  <si>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</si>
  <si>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</si>
  <si>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</si>
  <si>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</si>
  <si>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</si>
  <si>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</si>
  <si>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</si>
  <si>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</si>
  <si>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</si>
  <si>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</si>
  <si>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</si>
  <si>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</si>
  <si>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</si>
  <si>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</si>
  <si>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</si>
  <si>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</si>
  <si>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</si>
  <si>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</si>
  <si>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</si>
  <si>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</si>
  <si>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</si>
  <si>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</si>
  <si>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</si>
  <si>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</si>
  <si>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</si>
  <si>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</si>
  <si>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</si>
  <si>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</si>
  <si>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</si>
  <si>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</si>
  <si>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</si>
  <si>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</si>
  <si>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</si>
  <si>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</si>
  <si>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</si>
  <si>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</si>
  <si>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</si>
  <si>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</si>
  <si>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</si>
  <si>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</si>
  <si>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</si>
  <si>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</si>
  <si>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</si>
  <si>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</si>
  <si>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</si>
  <si>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</si>
  <si>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</si>
  <si>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</si>
  <si>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</si>
  <si>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</si>
  <si>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</si>
  <si>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</si>
  <si>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</si>
  <si>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</si>
  <si>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</si>
  <si>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</si>
  <si>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</si>
  <si>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</si>
  <si>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</si>
  <si>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</si>
  <si>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</si>
  <si>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</si>
  <si>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</si>
  <si>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</si>
  <si>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</si>
  <si>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</si>
  <si>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</si>
  <si>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</si>
  <si>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</si>
  <si>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</si>
  <si>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</si>
  <si>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</si>
  <si>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</si>
  <si>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</si>
  <si>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</si>
  <si>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</si>
  <si>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</si>
  <si>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</si>
  <si>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</si>
  <si>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</si>
  <si>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</si>
  <si>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</si>
  <si>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</si>
  <si>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</si>
  <si>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</si>
  <si>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</si>
  <si>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</si>
  <si>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</si>
  <si>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</si>
  <si>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</si>
  <si>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</si>
  <si>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</si>
  <si>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</si>
  <si>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</si>
  <si>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</si>
  <si>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</si>
  <si>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</si>
  <si>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</si>
  <si>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</si>
  <si>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</si>
  <si>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</si>
  <si>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</si>
  <si>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</si>
  <si>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</si>
  <si>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</si>
  <si>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</si>
  <si>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</si>
  <si>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</si>
  <si>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</si>
  <si>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</si>
  <si>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</si>
  <si>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</si>
  <si>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</si>
  <si>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</si>
  <si>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</si>
  <si>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</si>
  <si>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</si>
  <si>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</si>
  <si>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</si>
  <si>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</si>
  <si>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</si>
  <si>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13003</t>
  </si>
  <si>
    <t>BALEN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</si>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</sst>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202923.17623026011</c:v>
                </c:pt>
                <c:pt idx="1">
                  <c:v>37189.232763261323</c:v>
                </c:pt>
                <c:pt idx="2">
                  <c:v>1383.9829999999999</c:v>
                </c:pt>
                <c:pt idx="3">
                  <c:v>7832.3396974164316</c:v>
                </c:pt>
                <c:pt idx="4">
                  <c:v>40440.684889470329</c:v>
                </c:pt>
                <c:pt idx="5">
                  <c:v>73679.364128370173</c:v>
                </c:pt>
                <c:pt idx="6">
                  <c:v>758.66291034446601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202923.17623026011</c:v>
                </c:pt>
                <c:pt idx="1">
                  <c:v>37189.232763261323</c:v>
                </c:pt>
                <c:pt idx="2">
                  <c:v>1383.9829999999999</c:v>
                </c:pt>
                <c:pt idx="3">
                  <c:v>7832.3396974164316</c:v>
                </c:pt>
                <c:pt idx="4">
                  <c:v>40440.684889470329</c:v>
                </c:pt>
                <c:pt idx="5">
                  <c:v>73679.364128370173</c:v>
                </c:pt>
                <c:pt idx="6">
                  <c:v>758.66291034446601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39207.846031895599</c:v>
                </c:pt>
                <c:pt idx="2">
                  <c:v>6833.3162468131886</c:v>
                </c:pt>
                <c:pt idx="3">
                  <c:v>264.17051760956286</c:v>
                </c:pt>
                <c:pt idx="4">
                  <c:v>1981.1835206259273</c:v>
                </c:pt>
                <c:pt idx="5">
                  <c:v>8083.4490433171622</c:v>
                </c:pt>
                <c:pt idx="6">
                  <c:v>18820.108587400853</c:v>
                </c:pt>
                <c:pt idx="7">
                  <c:v>196.47643091885328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39207.846031895599</c:v>
                </c:pt>
                <c:pt idx="2">
                  <c:v>6833.3162468131886</c:v>
                </c:pt>
                <c:pt idx="3">
                  <c:v>264.17051760956286</c:v>
                </c:pt>
                <c:pt idx="4">
                  <c:v>1981.1835206259273</c:v>
                </c:pt>
                <c:pt idx="5">
                  <c:v>8083.4490433171622</c:v>
                </c:pt>
                <c:pt idx="6">
                  <c:v>18820.108587400853</c:v>
                </c:pt>
                <c:pt idx="7">
                  <c:v>196.47643091885328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13003</v>
      </c>
      <c r="B6" s="390"/>
      <c r="C6" s="391"/>
    </row>
    <row r="7" spans="1:7" s="388" customFormat="1" ht="15.75" customHeight="1">
      <c r="A7" s="392" t="str">
        <f>txtMunicipality</f>
        <v>BALEN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18847.781138423998</v>
      </c>
      <c r="D10" s="978">
        <f ca="1">tertiair!C16</f>
        <v>0</v>
      </c>
      <c r="E10" s="978">
        <f ca="1">tertiair!D16</f>
        <v>11228.41444932306</v>
      </c>
      <c r="F10" s="978">
        <f>tertiair!E16</f>
        <v>314.99689594052643</v>
      </c>
      <c r="G10" s="978">
        <f ca="1">tertiair!F16</f>
        <v>4345.4490807903449</v>
      </c>
      <c r="H10" s="978">
        <f>tertiair!G16</f>
        <v>0</v>
      </c>
      <c r="I10" s="978">
        <f>tertiair!H16</f>
        <v>0</v>
      </c>
      <c r="J10" s="978">
        <f>tertiair!I16</f>
        <v>0</v>
      </c>
      <c r="K10" s="978">
        <f>tertiair!J16</f>
        <v>0</v>
      </c>
      <c r="L10" s="978">
        <f>tertiair!K16</f>
        <v>0</v>
      </c>
      <c r="M10" s="978">
        <f ca="1">tertiair!L16</f>
        <v>0</v>
      </c>
      <c r="N10" s="978">
        <f>tertiair!M16</f>
        <v>0</v>
      </c>
      <c r="O10" s="978">
        <f ca="1">tertiair!N16</f>
        <v>3793.7508654500652</v>
      </c>
      <c r="P10" s="978">
        <f>tertiair!O16</f>
        <v>4.6900000000000004</v>
      </c>
      <c r="Q10" s="979">
        <f>tertiair!P16</f>
        <v>38.133333333333333</v>
      </c>
      <c r="R10" s="674">
        <f ca="1">SUM(C10:Q10)</f>
        <v>38573.215763261323</v>
      </c>
      <c r="S10" s="67"/>
    </row>
    <row r="11" spans="1:19" s="447" customFormat="1">
      <c r="A11" s="783" t="s">
        <v>224</v>
      </c>
      <c r="B11" s="788"/>
      <c r="C11" s="978">
        <f>huishoudens!B8</f>
        <v>41599.298419814935</v>
      </c>
      <c r="D11" s="978">
        <f>huishoudens!C8</f>
        <v>0</v>
      </c>
      <c r="E11" s="978">
        <f>huishoudens!D8</f>
        <v>51122.014346700009</v>
      </c>
      <c r="F11" s="978">
        <f>huishoudens!E8</f>
        <v>19134.52721277278</v>
      </c>
      <c r="G11" s="978">
        <f>huishoudens!F8</f>
        <v>62162.218490048559</v>
      </c>
      <c r="H11" s="978">
        <f>huishoudens!G8</f>
        <v>0</v>
      </c>
      <c r="I11" s="978">
        <f>huishoudens!H8</f>
        <v>0</v>
      </c>
      <c r="J11" s="978">
        <f>huishoudens!I8</f>
        <v>0</v>
      </c>
      <c r="K11" s="978">
        <f>huishoudens!J8</f>
        <v>0</v>
      </c>
      <c r="L11" s="978">
        <f>huishoudens!K8</f>
        <v>0</v>
      </c>
      <c r="M11" s="978">
        <f>huishoudens!L8</f>
        <v>0</v>
      </c>
      <c r="N11" s="978">
        <f>huishoudens!M8</f>
        <v>0</v>
      </c>
      <c r="O11" s="978">
        <f>huishoudens!N8</f>
        <v>26084.881094257154</v>
      </c>
      <c r="P11" s="978">
        <f>huishoudens!O8</f>
        <v>780.10333333333347</v>
      </c>
      <c r="Q11" s="979">
        <f>huishoudens!P8</f>
        <v>2040.1333333333332</v>
      </c>
      <c r="R11" s="674">
        <f>SUM(C11:Q11)</f>
        <v>202923.17623026011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19541.589252204998</v>
      </c>
      <c r="D13" s="978">
        <f>industrie!C18</f>
        <v>0</v>
      </c>
      <c r="E13" s="978">
        <f>industrie!D18</f>
        <v>12371.18001318496</v>
      </c>
      <c r="F13" s="978">
        <f>industrie!E18</f>
        <v>1203.4587541663279</v>
      </c>
      <c r="G13" s="978">
        <f>industrie!F18</f>
        <v>5774.755008934686</v>
      </c>
      <c r="H13" s="978">
        <f>industrie!G18</f>
        <v>0</v>
      </c>
      <c r="I13" s="978">
        <f>industrie!H18</f>
        <v>0</v>
      </c>
      <c r="J13" s="978">
        <f>industrie!I18</f>
        <v>0</v>
      </c>
      <c r="K13" s="978">
        <f>industrie!J18</f>
        <v>111.26017450917793</v>
      </c>
      <c r="L13" s="978">
        <f>industrie!K18</f>
        <v>0</v>
      </c>
      <c r="M13" s="978">
        <f>industrie!L18</f>
        <v>0</v>
      </c>
      <c r="N13" s="978">
        <f>industrie!M18</f>
        <v>0</v>
      </c>
      <c r="O13" s="978">
        <f>industrie!N18</f>
        <v>1438.4416864701782</v>
      </c>
      <c r="P13" s="978">
        <f>industrie!O18</f>
        <v>0</v>
      </c>
      <c r="Q13" s="979">
        <f>industrie!P18</f>
        <v>0</v>
      </c>
      <c r="R13" s="674">
        <f>SUM(C13:Q13)</f>
        <v>40440.684889470329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79988.668810443924</v>
      </c>
      <c r="D16" s="706">
        <f t="shared" ref="D16:R16" ca="1" si="0">SUM(D9:D15)</f>
        <v>0</v>
      </c>
      <c r="E16" s="706">
        <f t="shared" ca="1" si="0"/>
        <v>74721.608809208032</v>
      </c>
      <c r="F16" s="706">
        <f t="shared" si="0"/>
        <v>20652.982862879635</v>
      </c>
      <c r="G16" s="706">
        <f t="shared" ca="1" si="0"/>
        <v>72282.4225797736</v>
      </c>
      <c r="H16" s="706">
        <f t="shared" si="0"/>
        <v>0</v>
      </c>
      <c r="I16" s="706">
        <f t="shared" si="0"/>
        <v>0</v>
      </c>
      <c r="J16" s="706">
        <f t="shared" si="0"/>
        <v>0</v>
      </c>
      <c r="K16" s="706">
        <f t="shared" si="0"/>
        <v>111.26017450917793</v>
      </c>
      <c r="L16" s="706">
        <f t="shared" si="0"/>
        <v>0</v>
      </c>
      <c r="M16" s="706">
        <f t="shared" ca="1" si="0"/>
        <v>0</v>
      </c>
      <c r="N16" s="706">
        <f t="shared" si="0"/>
        <v>0</v>
      </c>
      <c r="O16" s="706">
        <f t="shared" ca="1" si="0"/>
        <v>31317.073646177399</v>
      </c>
      <c r="P16" s="706">
        <f t="shared" si="0"/>
        <v>784.79333333333352</v>
      </c>
      <c r="Q16" s="706">
        <f t="shared" si="0"/>
        <v>2078.2666666666664</v>
      </c>
      <c r="R16" s="706">
        <f t="shared" ca="1" si="0"/>
        <v>281937.07688299177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735.86678246761528</v>
      </c>
      <c r="I19" s="978">
        <f>transport!H54</f>
        <v>0</v>
      </c>
      <c r="J19" s="978">
        <f>transport!I54</f>
        <v>0</v>
      </c>
      <c r="K19" s="978">
        <f>transport!J54</f>
        <v>0</v>
      </c>
      <c r="L19" s="978">
        <f>transport!K54</f>
        <v>0</v>
      </c>
      <c r="M19" s="978">
        <f>transport!L54</f>
        <v>0</v>
      </c>
      <c r="N19" s="978">
        <f>transport!M54</f>
        <v>22.796127876850761</v>
      </c>
      <c r="O19" s="978">
        <f>transport!N54</f>
        <v>0</v>
      </c>
      <c r="P19" s="978">
        <f>transport!O54</f>
        <v>0</v>
      </c>
      <c r="Q19" s="979">
        <f>transport!P54</f>
        <v>0</v>
      </c>
      <c r="R19" s="674">
        <f>SUM(C19:Q19)</f>
        <v>758.66291034446601</v>
      </c>
      <c r="S19" s="67"/>
    </row>
    <row r="20" spans="1:19" s="447" customFormat="1">
      <c r="A20" s="783" t="s">
        <v>306</v>
      </c>
      <c r="B20" s="788"/>
      <c r="C20" s="978">
        <f>transport!B14</f>
        <v>20.096779629579199</v>
      </c>
      <c r="D20" s="978">
        <f>transport!C14</f>
        <v>0</v>
      </c>
      <c r="E20" s="978">
        <f>transport!D14</f>
        <v>40.44319172581632</v>
      </c>
      <c r="F20" s="978">
        <f>transport!E14</f>
        <v>180.34999120721304</v>
      </c>
      <c r="G20" s="978">
        <f>transport!F14</f>
        <v>0</v>
      </c>
      <c r="H20" s="978">
        <f>transport!G14</f>
        <v>57431.207169446636</v>
      </c>
      <c r="I20" s="978">
        <f>transport!H14</f>
        <v>13787.274246988702</v>
      </c>
      <c r="J20" s="978">
        <f>transport!I14</f>
        <v>0</v>
      </c>
      <c r="K20" s="978">
        <f>transport!J14</f>
        <v>0</v>
      </c>
      <c r="L20" s="978">
        <f>transport!K14</f>
        <v>0</v>
      </c>
      <c r="M20" s="978">
        <f>transport!L14</f>
        <v>0</v>
      </c>
      <c r="N20" s="978">
        <f>transport!M14</f>
        <v>2219.9927493722148</v>
      </c>
      <c r="O20" s="978">
        <f>transport!N14</f>
        <v>0</v>
      </c>
      <c r="P20" s="978">
        <f>transport!O14</f>
        <v>0</v>
      </c>
      <c r="Q20" s="979">
        <f>transport!P14</f>
        <v>0</v>
      </c>
      <c r="R20" s="674">
        <f>SUM(C20:Q20)</f>
        <v>73679.364128370173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20.096779629579199</v>
      </c>
      <c r="D22" s="786">
        <f t="shared" ref="D22:R22" si="1">SUM(D18:D21)</f>
        <v>0</v>
      </c>
      <c r="E22" s="786">
        <f t="shared" si="1"/>
        <v>40.44319172581632</v>
      </c>
      <c r="F22" s="786">
        <f t="shared" si="1"/>
        <v>180.34999120721304</v>
      </c>
      <c r="G22" s="786">
        <f t="shared" si="1"/>
        <v>0</v>
      </c>
      <c r="H22" s="786">
        <f t="shared" si="1"/>
        <v>58167.073951914252</v>
      </c>
      <c r="I22" s="786">
        <f t="shared" si="1"/>
        <v>13787.274246988702</v>
      </c>
      <c r="J22" s="786">
        <f t="shared" si="1"/>
        <v>0</v>
      </c>
      <c r="K22" s="786">
        <f t="shared" si="1"/>
        <v>0</v>
      </c>
      <c r="L22" s="786">
        <f t="shared" si="1"/>
        <v>0</v>
      </c>
      <c r="M22" s="786">
        <f t="shared" si="1"/>
        <v>0</v>
      </c>
      <c r="N22" s="786">
        <f t="shared" si="1"/>
        <v>2242.7888772490655</v>
      </c>
      <c r="O22" s="786">
        <f t="shared" si="1"/>
        <v>0</v>
      </c>
      <c r="P22" s="786">
        <f t="shared" si="1"/>
        <v>0</v>
      </c>
      <c r="Q22" s="786">
        <f t="shared" si="1"/>
        <v>0</v>
      </c>
      <c r="R22" s="786">
        <f t="shared" si="1"/>
        <v>74438.027038714645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1602.6691775099998</v>
      </c>
      <c r="D24" s="978">
        <f>+landbouw!C8</f>
        <v>0</v>
      </c>
      <c r="E24" s="978">
        <f>+landbouw!D8</f>
        <v>99.557373319139998</v>
      </c>
      <c r="F24" s="978">
        <f>+landbouw!E8</f>
        <v>41.326684549781085</v>
      </c>
      <c r="G24" s="978">
        <f>+landbouw!F8</f>
        <v>5858.0610573175063</v>
      </c>
      <c r="H24" s="978">
        <f>+landbouw!G8</f>
        <v>0</v>
      </c>
      <c r="I24" s="978">
        <f>+landbouw!H8</f>
        <v>0</v>
      </c>
      <c r="J24" s="978">
        <f>+landbouw!I8</f>
        <v>0</v>
      </c>
      <c r="K24" s="978">
        <f>+landbouw!J8</f>
        <v>230.72540472000372</v>
      </c>
      <c r="L24" s="978">
        <f>+landbouw!K8</f>
        <v>0</v>
      </c>
      <c r="M24" s="978">
        <f>+landbouw!L8</f>
        <v>0</v>
      </c>
      <c r="N24" s="978">
        <f>+landbouw!M8</f>
        <v>0</v>
      </c>
      <c r="O24" s="978">
        <f>+landbouw!N8</f>
        <v>0</v>
      </c>
      <c r="P24" s="978">
        <f>+landbouw!O8</f>
        <v>0</v>
      </c>
      <c r="Q24" s="979">
        <f>+landbouw!P8</f>
        <v>0</v>
      </c>
      <c r="R24" s="674">
        <f>SUM(C24:Q24)</f>
        <v>7832.3396974164316</v>
      </c>
      <c r="S24" s="67"/>
    </row>
    <row r="25" spans="1:19" s="447" customFormat="1" ht="15" thickBot="1">
      <c r="A25" s="805" t="s">
        <v>834</v>
      </c>
      <c r="B25" s="981"/>
      <c r="C25" s="982">
        <f>IF(Onbekend_ele_kWh="---",0,Onbekend_ele_kWh)/1000+IF(REST_rest_ele_kWh="---",0,REST_rest_ele_kWh)/1000</f>
        <v>905.47086214000001</v>
      </c>
      <c r="D25" s="982"/>
      <c r="E25" s="982">
        <f>IF(onbekend_gas_kWh="---",0,onbekend_gas_kWh)/1000+IF(REST_rest_gas_kWh="---",0,REST_rest_gas_kWh)/1000</f>
        <v>1234.3017845999998</v>
      </c>
      <c r="F25" s="982"/>
      <c r="G25" s="982"/>
      <c r="H25" s="982"/>
      <c r="I25" s="982"/>
      <c r="J25" s="982"/>
      <c r="K25" s="982"/>
      <c r="L25" s="982"/>
      <c r="M25" s="982"/>
      <c r="N25" s="982"/>
      <c r="O25" s="982"/>
      <c r="P25" s="982"/>
      <c r="Q25" s="983"/>
      <c r="R25" s="674">
        <f>SUM(C25:Q25)</f>
        <v>2139.7726467399998</v>
      </c>
      <c r="S25" s="67"/>
    </row>
    <row r="26" spans="1:19" s="447" customFormat="1" ht="15.75" thickBot="1">
      <c r="A26" s="679" t="s">
        <v>835</v>
      </c>
      <c r="B26" s="791"/>
      <c r="C26" s="786">
        <f>SUM(C24:C25)</f>
        <v>2508.1400396499998</v>
      </c>
      <c r="D26" s="786">
        <f t="shared" ref="D26:R26" si="2">SUM(D24:D25)</f>
        <v>0</v>
      </c>
      <c r="E26" s="786">
        <f t="shared" si="2"/>
        <v>1333.8591579191398</v>
      </c>
      <c r="F26" s="786">
        <f t="shared" si="2"/>
        <v>41.326684549781085</v>
      </c>
      <c r="G26" s="786">
        <f t="shared" si="2"/>
        <v>5858.0610573175063</v>
      </c>
      <c r="H26" s="786">
        <f t="shared" si="2"/>
        <v>0</v>
      </c>
      <c r="I26" s="786">
        <f t="shared" si="2"/>
        <v>0</v>
      </c>
      <c r="J26" s="786">
        <f t="shared" si="2"/>
        <v>0</v>
      </c>
      <c r="K26" s="786">
        <f t="shared" si="2"/>
        <v>230.72540472000372</v>
      </c>
      <c r="L26" s="786">
        <f t="shared" si="2"/>
        <v>0</v>
      </c>
      <c r="M26" s="786">
        <f t="shared" si="2"/>
        <v>0</v>
      </c>
      <c r="N26" s="786">
        <f t="shared" si="2"/>
        <v>0</v>
      </c>
      <c r="O26" s="786">
        <f t="shared" si="2"/>
        <v>0</v>
      </c>
      <c r="P26" s="786">
        <f t="shared" si="2"/>
        <v>0</v>
      </c>
      <c r="Q26" s="786">
        <f t="shared" si="2"/>
        <v>0</v>
      </c>
      <c r="R26" s="786">
        <f t="shared" si="2"/>
        <v>9972.1123441564305</v>
      </c>
      <c r="S26" s="67"/>
    </row>
    <row r="27" spans="1:19" s="447" customFormat="1" ht="17.25" thickTop="1" thickBot="1">
      <c r="A27" s="680" t="s">
        <v>115</v>
      </c>
      <c r="B27" s="779"/>
      <c r="C27" s="681">
        <f ca="1">C22+C16+C26</f>
        <v>82516.905629723493</v>
      </c>
      <c r="D27" s="681">
        <f t="shared" ref="D27:R27" ca="1" si="3">D22+D16+D26</f>
        <v>0</v>
      </c>
      <c r="E27" s="681">
        <f t="shared" ca="1" si="3"/>
        <v>76095.911158852992</v>
      </c>
      <c r="F27" s="681">
        <f t="shared" si="3"/>
        <v>20874.659538636632</v>
      </c>
      <c r="G27" s="681">
        <f t="shared" ca="1" si="3"/>
        <v>78140.483637091107</v>
      </c>
      <c r="H27" s="681">
        <f t="shared" si="3"/>
        <v>58167.073951914252</v>
      </c>
      <c r="I27" s="681">
        <f t="shared" si="3"/>
        <v>13787.274246988702</v>
      </c>
      <c r="J27" s="681">
        <f t="shared" si="3"/>
        <v>0</v>
      </c>
      <c r="K27" s="681">
        <f t="shared" si="3"/>
        <v>341.98557922918167</v>
      </c>
      <c r="L27" s="681">
        <f t="shared" si="3"/>
        <v>0</v>
      </c>
      <c r="M27" s="681">
        <f t="shared" ca="1" si="3"/>
        <v>0</v>
      </c>
      <c r="N27" s="681">
        <f t="shared" si="3"/>
        <v>2242.7888772490655</v>
      </c>
      <c r="O27" s="681">
        <f t="shared" ca="1" si="3"/>
        <v>31317.073646177399</v>
      </c>
      <c r="P27" s="681">
        <f t="shared" si="3"/>
        <v>784.79333333333352</v>
      </c>
      <c r="Q27" s="681">
        <f t="shared" si="3"/>
        <v>2078.2666666666664</v>
      </c>
      <c r="R27" s="681">
        <f t="shared" ca="1" si="3"/>
        <v>366347.21626586287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3597.6078457099716</v>
      </c>
      <c r="D40" s="978">
        <f ca="1">tertiair!C20</f>
        <v>0</v>
      </c>
      <c r="E40" s="978">
        <f ca="1">tertiair!D20</f>
        <v>2268.1397187632583</v>
      </c>
      <c r="F40" s="978">
        <f>tertiair!E20</f>
        <v>71.504295378499506</v>
      </c>
      <c r="G40" s="978">
        <f ca="1">tertiair!F20</f>
        <v>1160.2349045710221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7097.4867644227506</v>
      </c>
    </row>
    <row r="41" spans="1:18">
      <c r="A41" s="796" t="s">
        <v>224</v>
      </c>
      <c r="B41" s="803"/>
      <c r="C41" s="978">
        <f ca="1">huishoudens!B12</f>
        <v>7940.34911971981</v>
      </c>
      <c r="D41" s="978">
        <f ca="1">huishoudens!C12</f>
        <v>0</v>
      </c>
      <c r="E41" s="978">
        <f>huishoudens!D12</f>
        <v>10326.646898033403</v>
      </c>
      <c r="F41" s="978">
        <f>huishoudens!E12</f>
        <v>4343.5376772994214</v>
      </c>
      <c r="G41" s="978">
        <f>huishoudens!F12</f>
        <v>16597.312336842966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39207.846031895599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3730.0398542962339</v>
      </c>
      <c r="D43" s="978">
        <f ca="1">industrie!C22</f>
        <v>0</v>
      </c>
      <c r="E43" s="978">
        <f>industrie!D22</f>
        <v>2498.9783626633621</v>
      </c>
      <c r="F43" s="978">
        <f>industrie!E22</f>
        <v>273.18513719575645</v>
      </c>
      <c r="G43" s="978">
        <f>industrie!F22</f>
        <v>1541.8595873855613</v>
      </c>
      <c r="H43" s="978">
        <f>industrie!G22</f>
        <v>0</v>
      </c>
      <c r="I43" s="978">
        <f>industrie!H22</f>
        <v>0</v>
      </c>
      <c r="J43" s="978">
        <f>industrie!I22</f>
        <v>0</v>
      </c>
      <c r="K43" s="978">
        <f>industrie!J22</f>
        <v>39.386101776248985</v>
      </c>
      <c r="L43" s="978">
        <f>industrie!K22</f>
        <v>0</v>
      </c>
      <c r="M43" s="978">
        <f>industrie!L22</f>
        <v>0</v>
      </c>
      <c r="N43" s="978">
        <f>industrie!M22</f>
        <v>0</v>
      </c>
      <c r="O43" s="978">
        <f>industrie!N22</f>
        <v>0</v>
      </c>
      <c r="P43" s="978">
        <f>industrie!O22</f>
        <v>0</v>
      </c>
      <c r="Q43" s="748">
        <f>industrie!P22</f>
        <v>0</v>
      </c>
      <c r="R43" s="823">
        <f t="shared" ca="1" si="4"/>
        <v>8083.4490433171622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15267.996819726015</v>
      </c>
      <c r="D46" s="706">
        <f t="shared" ref="D46:Q46" ca="1" si="5">SUM(D39:D45)</f>
        <v>0</v>
      </c>
      <c r="E46" s="706">
        <f t="shared" ca="1" si="5"/>
        <v>15093.764979460022</v>
      </c>
      <c r="F46" s="706">
        <f t="shared" si="5"/>
        <v>4688.2271098736774</v>
      </c>
      <c r="G46" s="706">
        <f t="shared" ca="1" si="5"/>
        <v>19299.406828799551</v>
      </c>
      <c r="H46" s="706">
        <f t="shared" si="5"/>
        <v>0</v>
      </c>
      <c r="I46" s="706">
        <f t="shared" si="5"/>
        <v>0</v>
      </c>
      <c r="J46" s="706">
        <f t="shared" si="5"/>
        <v>0</v>
      </c>
      <c r="K46" s="706">
        <f t="shared" si="5"/>
        <v>39.386101776248985</v>
      </c>
      <c r="L46" s="706">
        <f t="shared" si="5"/>
        <v>0</v>
      </c>
      <c r="M46" s="706">
        <f t="shared" ca="1" si="5"/>
        <v>0</v>
      </c>
      <c r="N46" s="706">
        <f t="shared" si="5"/>
        <v>0</v>
      </c>
      <c r="O46" s="706">
        <f t="shared" ca="1" si="5"/>
        <v>0</v>
      </c>
      <c r="P46" s="706">
        <f t="shared" si="5"/>
        <v>0</v>
      </c>
      <c r="Q46" s="706">
        <f t="shared" si="5"/>
        <v>0</v>
      </c>
      <c r="R46" s="706">
        <f ca="1">SUM(R39:R45)</f>
        <v>54388.781839635507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196.47643091885328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196.47643091885328</v>
      </c>
    </row>
    <row r="50" spans="1:18">
      <c r="A50" s="799" t="s">
        <v>306</v>
      </c>
      <c r="B50" s="809"/>
      <c r="C50" s="677">
        <f ca="1">transport!B18</f>
        <v>3.8360129257593889</v>
      </c>
      <c r="D50" s="677">
        <f>transport!C18</f>
        <v>0</v>
      </c>
      <c r="E50" s="677">
        <f>transport!D18</f>
        <v>8.1695247286148973</v>
      </c>
      <c r="F50" s="677">
        <f>transport!E18</f>
        <v>40.939448004037359</v>
      </c>
      <c r="G50" s="677">
        <f>transport!F18</f>
        <v>0</v>
      </c>
      <c r="H50" s="677">
        <f>transport!G18</f>
        <v>15334.132314242253</v>
      </c>
      <c r="I50" s="677">
        <f>transport!H18</f>
        <v>3433.0312875001869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18820.108587400853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3.8360129257593889</v>
      </c>
      <c r="D52" s="706">
        <f t="shared" ref="D52:Q52" ca="1" si="6">SUM(D48:D51)</f>
        <v>0</v>
      </c>
      <c r="E52" s="706">
        <f t="shared" si="6"/>
        <v>8.1695247286148973</v>
      </c>
      <c r="F52" s="706">
        <f t="shared" si="6"/>
        <v>40.939448004037359</v>
      </c>
      <c r="G52" s="706">
        <f t="shared" si="6"/>
        <v>0</v>
      </c>
      <c r="H52" s="706">
        <f t="shared" si="6"/>
        <v>15530.608745161107</v>
      </c>
      <c r="I52" s="706">
        <f t="shared" si="6"/>
        <v>3433.0312875001869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19016.585018319707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305.91267824800525</v>
      </c>
      <c r="D54" s="677">
        <f ca="1">+landbouw!C12</f>
        <v>0</v>
      </c>
      <c r="E54" s="677">
        <f>+landbouw!D12</f>
        <v>20.110589410466282</v>
      </c>
      <c r="F54" s="677">
        <f>+landbouw!E12</f>
        <v>9.381157392800306</v>
      </c>
      <c r="G54" s="677">
        <f>+landbouw!F12</f>
        <v>1564.1023023037742</v>
      </c>
      <c r="H54" s="677">
        <f>+landbouw!G12</f>
        <v>0</v>
      </c>
      <c r="I54" s="677">
        <f>+landbouw!H12</f>
        <v>0</v>
      </c>
      <c r="J54" s="677">
        <f>+landbouw!I12</f>
        <v>0</v>
      </c>
      <c r="K54" s="677">
        <f>+landbouw!J12</f>
        <v>81.676793270881319</v>
      </c>
      <c r="L54" s="677">
        <f>+landbouw!K12</f>
        <v>0</v>
      </c>
      <c r="M54" s="677">
        <f>+landbouw!L12</f>
        <v>0</v>
      </c>
      <c r="N54" s="677">
        <f>+landbouw!M12</f>
        <v>0</v>
      </c>
      <c r="O54" s="677">
        <f>+landbouw!N12</f>
        <v>0</v>
      </c>
      <c r="P54" s="677">
        <f>+landbouw!O12</f>
        <v>0</v>
      </c>
      <c r="Q54" s="678">
        <f>+landbouw!P12</f>
        <v>0</v>
      </c>
      <c r="R54" s="705">
        <f ca="1">SUM(C54:Q54)</f>
        <v>1981.1835206259273</v>
      </c>
    </row>
    <row r="55" spans="1:18" ht="15" thickBot="1">
      <c r="A55" s="799" t="s">
        <v>834</v>
      </c>
      <c r="B55" s="809"/>
      <c r="C55" s="677">
        <f ca="1">C25*'EF ele_warmte'!B12</f>
        <v>172.83355816646659</v>
      </c>
      <c r="D55" s="677"/>
      <c r="E55" s="677">
        <f>E25*EF_CO2_aardgas</f>
        <v>249.32896048919997</v>
      </c>
      <c r="F55" s="677"/>
      <c r="G55" s="677"/>
      <c r="H55" s="677"/>
      <c r="I55" s="677"/>
      <c r="J55" s="677"/>
      <c r="K55" s="677"/>
      <c r="L55" s="677"/>
      <c r="M55" s="677"/>
      <c r="N55" s="677"/>
      <c r="O55" s="677"/>
      <c r="P55" s="677"/>
      <c r="Q55" s="678"/>
      <c r="R55" s="705">
        <f ca="1">SUM(C55:Q55)</f>
        <v>422.16251865566653</v>
      </c>
    </row>
    <row r="56" spans="1:18" ht="15.75" thickBot="1">
      <c r="A56" s="797" t="s">
        <v>835</v>
      </c>
      <c r="B56" s="810"/>
      <c r="C56" s="706">
        <f ca="1">SUM(C54:C55)</f>
        <v>478.74623641447181</v>
      </c>
      <c r="D56" s="706">
        <f t="shared" ref="D56:Q56" ca="1" si="7">SUM(D54:D55)</f>
        <v>0</v>
      </c>
      <c r="E56" s="706">
        <f t="shared" si="7"/>
        <v>269.43954989966625</v>
      </c>
      <c r="F56" s="706">
        <f t="shared" si="7"/>
        <v>9.381157392800306</v>
      </c>
      <c r="G56" s="706">
        <f t="shared" si="7"/>
        <v>1564.1023023037742</v>
      </c>
      <c r="H56" s="706">
        <f t="shared" si="7"/>
        <v>0</v>
      </c>
      <c r="I56" s="706">
        <f t="shared" si="7"/>
        <v>0</v>
      </c>
      <c r="J56" s="706">
        <f t="shared" si="7"/>
        <v>0</v>
      </c>
      <c r="K56" s="706">
        <f t="shared" si="7"/>
        <v>81.676793270881319</v>
      </c>
      <c r="L56" s="706">
        <f t="shared" si="7"/>
        <v>0</v>
      </c>
      <c r="M56" s="706">
        <f t="shared" si="7"/>
        <v>0</v>
      </c>
      <c r="N56" s="706">
        <f t="shared" si="7"/>
        <v>0</v>
      </c>
      <c r="O56" s="706">
        <f t="shared" si="7"/>
        <v>0</v>
      </c>
      <c r="P56" s="706">
        <f t="shared" si="7"/>
        <v>0</v>
      </c>
      <c r="Q56" s="707">
        <f t="shared" si="7"/>
        <v>0</v>
      </c>
      <c r="R56" s="708">
        <f ca="1">SUM(R54:R55)</f>
        <v>2403.3460392815937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15750.579069066247</v>
      </c>
      <c r="D61" s="714">
        <f t="shared" ref="D61:Q61" ca="1" si="8">D46+D52+D56</f>
        <v>0</v>
      </c>
      <c r="E61" s="714">
        <f t="shared" ca="1" si="8"/>
        <v>15371.374054088303</v>
      </c>
      <c r="F61" s="714">
        <f t="shared" si="8"/>
        <v>4738.5477152705153</v>
      </c>
      <c r="G61" s="714">
        <f t="shared" ca="1" si="8"/>
        <v>20863.509131103325</v>
      </c>
      <c r="H61" s="714">
        <f t="shared" si="8"/>
        <v>15530.608745161107</v>
      </c>
      <c r="I61" s="714">
        <f t="shared" si="8"/>
        <v>3433.0312875001869</v>
      </c>
      <c r="J61" s="714">
        <f t="shared" si="8"/>
        <v>0</v>
      </c>
      <c r="K61" s="714">
        <f t="shared" si="8"/>
        <v>121.0628950471303</v>
      </c>
      <c r="L61" s="714">
        <f t="shared" si="8"/>
        <v>0</v>
      </c>
      <c r="M61" s="714">
        <f t="shared" ca="1" si="8"/>
        <v>0</v>
      </c>
      <c r="N61" s="714">
        <f t="shared" si="8"/>
        <v>0</v>
      </c>
      <c r="O61" s="714">
        <f t="shared" ca="1" si="8"/>
        <v>0</v>
      </c>
      <c r="P61" s="714">
        <f t="shared" si="8"/>
        <v>0</v>
      </c>
      <c r="Q61" s="714">
        <f t="shared" si="8"/>
        <v>0</v>
      </c>
      <c r="R61" s="714">
        <f ca="1">R46+R52+R56</f>
        <v>75808.712897236808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0.19087699603937544</v>
      </c>
      <c r="D63" s="755">
        <f t="shared" ca="1" si="9"/>
        <v>0</v>
      </c>
      <c r="E63" s="989">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11247.317081912443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11247.317081912443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41599.298419814935</v>
      </c>
      <c r="C4" s="451">
        <f>huishoudens!C8</f>
        <v>0</v>
      </c>
      <c r="D4" s="451">
        <f>huishoudens!D8</f>
        <v>51122.014346700009</v>
      </c>
      <c r="E4" s="451">
        <f>huishoudens!E8</f>
        <v>19134.52721277278</v>
      </c>
      <c r="F4" s="451">
        <f>huishoudens!F8</f>
        <v>62162.218490048559</v>
      </c>
      <c r="G4" s="451">
        <f>huishoudens!G8</f>
        <v>0</v>
      </c>
      <c r="H4" s="451">
        <f>huishoudens!H8</f>
        <v>0</v>
      </c>
      <c r="I4" s="451">
        <f>huishoudens!I8</f>
        <v>0</v>
      </c>
      <c r="J4" s="451">
        <f>huishoudens!J8</f>
        <v>0</v>
      </c>
      <c r="K4" s="451">
        <f>huishoudens!K8</f>
        <v>0</v>
      </c>
      <c r="L4" s="451">
        <f>huishoudens!L8</f>
        <v>0</v>
      </c>
      <c r="M4" s="451">
        <f>huishoudens!M8</f>
        <v>0</v>
      </c>
      <c r="N4" s="451">
        <f>huishoudens!N8</f>
        <v>26084.881094257154</v>
      </c>
      <c r="O4" s="451">
        <f>huishoudens!O8</f>
        <v>780.10333333333347</v>
      </c>
      <c r="P4" s="452">
        <f>huishoudens!P8</f>
        <v>2040.1333333333332</v>
      </c>
      <c r="Q4" s="453">
        <f>SUM(B4:P4)</f>
        <v>202923.17623026011</v>
      </c>
    </row>
    <row r="5" spans="1:17">
      <c r="A5" s="450" t="s">
        <v>155</v>
      </c>
      <c r="B5" s="451">
        <f ca="1">tertiair!B16</f>
        <v>17463.798138423997</v>
      </c>
      <c r="C5" s="451">
        <f ca="1">tertiair!C16</f>
        <v>0</v>
      </c>
      <c r="D5" s="451">
        <f ca="1">tertiair!D16</f>
        <v>11228.41444932306</v>
      </c>
      <c r="E5" s="451">
        <f>tertiair!E16</f>
        <v>314.99689594052643</v>
      </c>
      <c r="F5" s="451">
        <f ca="1">tertiair!F16</f>
        <v>4345.4490807903449</v>
      </c>
      <c r="G5" s="451">
        <f>tertiair!G16</f>
        <v>0</v>
      </c>
      <c r="H5" s="451">
        <f>tertiair!H16</f>
        <v>0</v>
      </c>
      <c r="I5" s="451">
        <f>tertiair!I16</f>
        <v>0</v>
      </c>
      <c r="J5" s="451">
        <f>tertiair!J16</f>
        <v>0</v>
      </c>
      <c r="K5" s="451">
        <f>tertiair!K16</f>
        <v>0</v>
      </c>
      <c r="L5" s="451">
        <f ca="1">tertiair!L16</f>
        <v>0</v>
      </c>
      <c r="M5" s="451">
        <f>tertiair!M16</f>
        <v>0</v>
      </c>
      <c r="N5" s="451">
        <f ca="1">tertiair!N16</f>
        <v>3793.7508654500652</v>
      </c>
      <c r="O5" s="451">
        <f>tertiair!O16</f>
        <v>4.6900000000000004</v>
      </c>
      <c r="P5" s="452">
        <f>tertiair!P16</f>
        <v>38.133333333333333</v>
      </c>
      <c r="Q5" s="450">
        <f t="shared" ref="Q5:Q14" ca="1" si="0">SUM(B5:P5)</f>
        <v>37189.232763261323</v>
      </c>
    </row>
    <row r="6" spans="1:17">
      <c r="A6" s="450" t="s">
        <v>193</v>
      </c>
      <c r="B6" s="451">
        <f>'openbare verlichting'!B8</f>
        <v>1383.9829999999999</v>
      </c>
      <c r="C6" s="451"/>
      <c r="D6" s="451"/>
      <c r="E6" s="451"/>
      <c r="F6" s="451"/>
      <c r="G6" s="451"/>
      <c r="H6" s="451"/>
      <c r="I6" s="451"/>
      <c r="J6" s="451"/>
      <c r="K6" s="451"/>
      <c r="L6" s="451"/>
      <c r="M6" s="451"/>
      <c r="N6" s="451"/>
      <c r="O6" s="451"/>
      <c r="P6" s="452"/>
      <c r="Q6" s="450">
        <f t="shared" si="0"/>
        <v>1383.9829999999999</v>
      </c>
    </row>
    <row r="7" spans="1:17">
      <c r="A7" s="450" t="s">
        <v>111</v>
      </c>
      <c r="B7" s="451">
        <f>landbouw!B8</f>
        <v>1602.6691775099998</v>
      </c>
      <c r="C7" s="451">
        <f>landbouw!C8</f>
        <v>0</v>
      </c>
      <c r="D7" s="451">
        <f>landbouw!D8</f>
        <v>99.557373319139998</v>
      </c>
      <c r="E7" s="451">
        <f>landbouw!E8</f>
        <v>41.326684549781085</v>
      </c>
      <c r="F7" s="451">
        <f>landbouw!F8</f>
        <v>5858.0610573175063</v>
      </c>
      <c r="G7" s="451">
        <f>landbouw!G8</f>
        <v>0</v>
      </c>
      <c r="H7" s="451">
        <f>landbouw!H8</f>
        <v>0</v>
      </c>
      <c r="I7" s="451">
        <f>landbouw!I8</f>
        <v>0</v>
      </c>
      <c r="J7" s="451">
        <f>landbouw!J8</f>
        <v>230.72540472000372</v>
      </c>
      <c r="K7" s="451">
        <f>landbouw!K8</f>
        <v>0</v>
      </c>
      <c r="L7" s="451">
        <f>landbouw!L8</f>
        <v>0</v>
      </c>
      <c r="M7" s="451">
        <f>landbouw!M8</f>
        <v>0</v>
      </c>
      <c r="N7" s="451">
        <f>landbouw!N8</f>
        <v>0</v>
      </c>
      <c r="O7" s="451">
        <f>landbouw!O8</f>
        <v>0</v>
      </c>
      <c r="P7" s="452">
        <f>landbouw!P8</f>
        <v>0</v>
      </c>
      <c r="Q7" s="450">
        <f t="shared" si="0"/>
        <v>7832.3396974164316</v>
      </c>
    </row>
    <row r="8" spans="1:17">
      <c r="A8" s="450" t="s">
        <v>637</v>
      </c>
      <c r="B8" s="451">
        <f>industrie!B18</f>
        <v>19541.589252204998</v>
      </c>
      <c r="C8" s="451">
        <f>industrie!C18</f>
        <v>0</v>
      </c>
      <c r="D8" s="451">
        <f>industrie!D18</f>
        <v>12371.18001318496</v>
      </c>
      <c r="E8" s="451">
        <f>industrie!E18</f>
        <v>1203.4587541663279</v>
      </c>
      <c r="F8" s="451">
        <f>industrie!F18</f>
        <v>5774.755008934686</v>
      </c>
      <c r="G8" s="451">
        <f>industrie!G18</f>
        <v>0</v>
      </c>
      <c r="H8" s="451">
        <f>industrie!H18</f>
        <v>0</v>
      </c>
      <c r="I8" s="451">
        <f>industrie!I18</f>
        <v>0</v>
      </c>
      <c r="J8" s="451">
        <f>industrie!J18</f>
        <v>111.26017450917793</v>
      </c>
      <c r="K8" s="451">
        <f>industrie!K18</f>
        <v>0</v>
      </c>
      <c r="L8" s="451">
        <f>industrie!L18</f>
        <v>0</v>
      </c>
      <c r="M8" s="451">
        <f>industrie!M18</f>
        <v>0</v>
      </c>
      <c r="N8" s="451">
        <f>industrie!N18</f>
        <v>1438.4416864701782</v>
      </c>
      <c r="O8" s="451">
        <f>industrie!O18</f>
        <v>0</v>
      </c>
      <c r="P8" s="452">
        <f>industrie!P18</f>
        <v>0</v>
      </c>
      <c r="Q8" s="450">
        <f t="shared" si="0"/>
        <v>40440.684889470329</v>
      </c>
    </row>
    <row r="9" spans="1:17" s="456" customFormat="1">
      <c r="A9" s="454" t="s">
        <v>563</v>
      </c>
      <c r="B9" s="455">
        <f>transport!B14</f>
        <v>20.096779629579199</v>
      </c>
      <c r="C9" s="455">
        <f>transport!C14</f>
        <v>0</v>
      </c>
      <c r="D9" s="455">
        <f>transport!D14</f>
        <v>40.44319172581632</v>
      </c>
      <c r="E9" s="455">
        <f>transport!E14</f>
        <v>180.34999120721304</v>
      </c>
      <c r="F9" s="455">
        <f>transport!F14</f>
        <v>0</v>
      </c>
      <c r="G9" s="455">
        <f>transport!G14</f>
        <v>57431.207169446636</v>
      </c>
      <c r="H9" s="455">
        <f>transport!H14</f>
        <v>13787.274246988702</v>
      </c>
      <c r="I9" s="455">
        <f>transport!I14</f>
        <v>0</v>
      </c>
      <c r="J9" s="455">
        <f>transport!J14</f>
        <v>0</v>
      </c>
      <c r="K9" s="455">
        <f>transport!K14</f>
        <v>0</v>
      </c>
      <c r="L9" s="455">
        <f>transport!L14</f>
        <v>0</v>
      </c>
      <c r="M9" s="455">
        <f>transport!M14</f>
        <v>2219.9927493722148</v>
      </c>
      <c r="N9" s="455">
        <f>transport!N14</f>
        <v>0</v>
      </c>
      <c r="O9" s="455">
        <f>transport!O14</f>
        <v>0</v>
      </c>
      <c r="P9" s="455">
        <f>transport!P14</f>
        <v>0</v>
      </c>
      <c r="Q9" s="454">
        <f>SUM(B9:P9)</f>
        <v>73679.364128370173</v>
      </c>
    </row>
    <row r="10" spans="1:17">
      <c r="A10" s="450" t="s">
        <v>553</v>
      </c>
      <c r="B10" s="451">
        <f>transport!B54</f>
        <v>0</v>
      </c>
      <c r="C10" s="451">
        <f>transport!C54</f>
        <v>0</v>
      </c>
      <c r="D10" s="451">
        <f>transport!D54</f>
        <v>0</v>
      </c>
      <c r="E10" s="451">
        <f>transport!E54</f>
        <v>0</v>
      </c>
      <c r="F10" s="451">
        <f>transport!F54</f>
        <v>0</v>
      </c>
      <c r="G10" s="451">
        <f>transport!G54</f>
        <v>735.86678246761528</v>
      </c>
      <c r="H10" s="451">
        <f>transport!H54</f>
        <v>0</v>
      </c>
      <c r="I10" s="451">
        <f>transport!I54</f>
        <v>0</v>
      </c>
      <c r="J10" s="451">
        <f>transport!J54</f>
        <v>0</v>
      </c>
      <c r="K10" s="451">
        <f>transport!K54</f>
        <v>0</v>
      </c>
      <c r="L10" s="451">
        <f>transport!L54</f>
        <v>0</v>
      </c>
      <c r="M10" s="451">
        <f>transport!M54</f>
        <v>22.796127876850761</v>
      </c>
      <c r="N10" s="451">
        <f>transport!N54</f>
        <v>0</v>
      </c>
      <c r="O10" s="451">
        <f>transport!O54</f>
        <v>0</v>
      </c>
      <c r="P10" s="452">
        <f>transport!P54</f>
        <v>0</v>
      </c>
      <c r="Q10" s="450">
        <f t="shared" si="0"/>
        <v>758.66291034446601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905.47086214000001</v>
      </c>
      <c r="C14" s="458"/>
      <c r="D14" s="458">
        <f>'SEAP template'!E25</f>
        <v>1234.3017845999998</v>
      </c>
      <c r="E14" s="458"/>
      <c r="F14" s="458"/>
      <c r="G14" s="458"/>
      <c r="H14" s="458"/>
      <c r="I14" s="458"/>
      <c r="J14" s="458"/>
      <c r="K14" s="458"/>
      <c r="L14" s="458"/>
      <c r="M14" s="458"/>
      <c r="N14" s="458"/>
      <c r="O14" s="458"/>
      <c r="P14" s="459"/>
      <c r="Q14" s="450">
        <f t="shared" si="0"/>
        <v>2139.7726467399998</v>
      </c>
    </row>
    <row r="15" spans="1:17" s="460" customFormat="1">
      <c r="A15" s="1004" t="s">
        <v>557</v>
      </c>
      <c r="B15" s="944">
        <f ca="1">SUM(B4:B14)</f>
        <v>82516.905629723507</v>
      </c>
      <c r="C15" s="944">
        <f t="shared" ref="C15:Q15" ca="1" si="1">SUM(C4:C14)</f>
        <v>0</v>
      </c>
      <c r="D15" s="944">
        <f t="shared" ca="1" si="1"/>
        <v>76095.911158852992</v>
      </c>
      <c r="E15" s="944">
        <f t="shared" si="1"/>
        <v>20874.659538636632</v>
      </c>
      <c r="F15" s="944">
        <f t="shared" ca="1" si="1"/>
        <v>78140.483637091107</v>
      </c>
      <c r="G15" s="944">
        <f t="shared" si="1"/>
        <v>58167.073951914252</v>
      </c>
      <c r="H15" s="944">
        <f t="shared" si="1"/>
        <v>13787.274246988702</v>
      </c>
      <c r="I15" s="944">
        <f t="shared" si="1"/>
        <v>0</v>
      </c>
      <c r="J15" s="944">
        <f t="shared" si="1"/>
        <v>341.98557922918167</v>
      </c>
      <c r="K15" s="944">
        <f t="shared" si="1"/>
        <v>0</v>
      </c>
      <c r="L15" s="944">
        <f t="shared" ca="1" si="1"/>
        <v>0</v>
      </c>
      <c r="M15" s="944">
        <f t="shared" si="1"/>
        <v>2242.7888772490655</v>
      </c>
      <c r="N15" s="944">
        <f t="shared" ca="1" si="1"/>
        <v>31317.073646177399</v>
      </c>
      <c r="O15" s="944">
        <f t="shared" si="1"/>
        <v>784.79333333333352</v>
      </c>
      <c r="P15" s="944">
        <f t="shared" si="1"/>
        <v>2078.2666666666664</v>
      </c>
      <c r="Q15" s="944">
        <f t="shared" ca="1" si="1"/>
        <v>366347.21626586292</v>
      </c>
    </row>
    <row r="17" spans="1:17">
      <c r="A17" s="461" t="s">
        <v>558</v>
      </c>
      <c r="B17" s="760">
        <f ca="1">huishoudens!B10</f>
        <v>0.19087699603937539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7940.34911971981</v>
      </c>
      <c r="C22" s="451">
        <f t="shared" ref="C22:C32" ca="1" si="3">C4*$C$17</f>
        <v>0</v>
      </c>
      <c r="D22" s="451">
        <f t="shared" ref="D22:D32" si="4">D4*$D$17</f>
        <v>10326.646898033403</v>
      </c>
      <c r="E22" s="451">
        <f t="shared" ref="E22:E32" si="5">E4*$E$17</f>
        <v>4343.5376772994214</v>
      </c>
      <c r="F22" s="451">
        <f t="shared" ref="F22:F32" si="6">F4*$F$17</f>
        <v>16597.312336842966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39207.846031895599</v>
      </c>
    </row>
    <row r="23" spans="1:17">
      <c r="A23" s="450" t="s">
        <v>155</v>
      </c>
      <c r="B23" s="451">
        <f t="shared" ca="1" si="2"/>
        <v>3333.4373281004086</v>
      </c>
      <c r="C23" s="451">
        <f t="shared" ca="1" si="3"/>
        <v>0</v>
      </c>
      <c r="D23" s="451">
        <f t="shared" ca="1" si="4"/>
        <v>2268.1397187632583</v>
      </c>
      <c r="E23" s="451">
        <f t="shared" si="5"/>
        <v>71.504295378499506</v>
      </c>
      <c r="F23" s="451">
        <f t="shared" ca="1" si="6"/>
        <v>1160.2349045710221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6833.3162468131886</v>
      </c>
    </row>
    <row r="24" spans="1:17">
      <c r="A24" s="450" t="s">
        <v>193</v>
      </c>
      <c r="B24" s="451">
        <f t="shared" ca="1" si="2"/>
        <v>264.17051760956286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264.17051760956286</v>
      </c>
    </row>
    <row r="25" spans="1:17">
      <c r="A25" s="450" t="s">
        <v>111</v>
      </c>
      <c r="B25" s="451">
        <f t="shared" ca="1" si="2"/>
        <v>305.91267824800525</v>
      </c>
      <c r="C25" s="451">
        <f t="shared" ca="1" si="3"/>
        <v>0</v>
      </c>
      <c r="D25" s="451">
        <f t="shared" si="4"/>
        <v>20.110589410466282</v>
      </c>
      <c r="E25" s="451">
        <f t="shared" si="5"/>
        <v>9.381157392800306</v>
      </c>
      <c r="F25" s="451">
        <f t="shared" si="6"/>
        <v>1564.1023023037742</v>
      </c>
      <c r="G25" s="451">
        <f t="shared" si="7"/>
        <v>0</v>
      </c>
      <c r="H25" s="451">
        <f t="shared" si="8"/>
        <v>0</v>
      </c>
      <c r="I25" s="451">
        <f t="shared" si="9"/>
        <v>0</v>
      </c>
      <c r="J25" s="451">
        <f t="shared" si="10"/>
        <v>81.676793270881319</v>
      </c>
      <c r="K25" s="451">
        <f t="shared" si="11"/>
        <v>0</v>
      </c>
      <c r="L25" s="451">
        <f t="shared" si="12"/>
        <v>0</v>
      </c>
      <c r="M25" s="451">
        <f t="shared" si="13"/>
        <v>0</v>
      </c>
      <c r="N25" s="451">
        <f t="shared" si="14"/>
        <v>0</v>
      </c>
      <c r="O25" s="451">
        <f t="shared" si="15"/>
        <v>0</v>
      </c>
      <c r="P25" s="452">
        <f t="shared" si="16"/>
        <v>0</v>
      </c>
      <c r="Q25" s="450">
        <f t="shared" ca="1" si="17"/>
        <v>1981.1835206259273</v>
      </c>
    </row>
    <row r="26" spans="1:17">
      <c r="A26" s="450" t="s">
        <v>637</v>
      </c>
      <c r="B26" s="451">
        <f t="shared" ca="1" si="2"/>
        <v>3730.0398542962339</v>
      </c>
      <c r="C26" s="451">
        <f t="shared" ca="1" si="3"/>
        <v>0</v>
      </c>
      <c r="D26" s="451">
        <f t="shared" si="4"/>
        <v>2498.9783626633621</v>
      </c>
      <c r="E26" s="451">
        <f t="shared" si="5"/>
        <v>273.18513719575645</v>
      </c>
      <c r="F26" s="451">
        <f t="shared" si="6"/>
        <v>1541.8595873855613</v>
      </c>
      <c r="G26" s="451">
        <f t="shared" si="7"/>
        <v>0</v>
      </c>
      <c r="H26" s="451">
        <f t="shared" si="8"/>
        <v>0</v>
      </c>
      <c r="I26" s="451">
        <f t="shared" si="9"/>
        <v>0</v>
      </c>
      <c r="J26" s="451">
        <f t="shared" si="10"/>
        <v>39.386101776248985</v>
      </c>
      <c r="K26" s="451">
        <f t="shared" si="11"/>
        <v>0</v>
      </c>
      <c r="L26" s="451">
        <f t="shared" si="12"/>
        <v>0</v>
      </c>
      <c r="M26" s="451">
        <f t="shared" si="13"/>
        <v>0</v>
      </c>
      <c r="N26" s="451">
        <f t="shared" si="14"/>
        <v>0</v>
      </c>
      <c r="O26" s="451">
        <f t="shared" si="15"/>
        <v>0</v>
      </c>
      <c r="P26" s="452">
        <f t="shared" si="16"/>
        <v>0</v>
      </c>
      <c r="Q26" s="450">
        <f t="shared" ca="1" si="17"/>
        <v>8083.4490433171622</v>
      </c>
    </row>
    <row r="27" spans="1:17" s="456" customFormat="1">
      <c r="A27" s="454" t="s">
        <v>563</v>
      </c>
      <c r="B27" s="754">
        <f t="shared" ca="1" si="2"/>
        <v>3.8360129257593889</v>
      </c>
      <c r="C27" s="455">
        <f t="shared" ca="1" si="3"/>
        <v>0</v>
      </c>
      <c r="D27" s="455">
        <f t="shared" si="4"/>
        <v>8.1695247286148973</v>
      </c>
      <c r="E27" s="455">
        <f t="shared" si="5"/>
        <v>40.939448004037359</v>
      </c>
      <c r="F27" s="455">
        <f t="shared" si="6"/>
        <v>0</v>
      </c>
      <c r="G27" s="455">
        <f t="shared" si="7"/>
        <v>15334.132314242253</v>
      </c>
      <c r="H27" s="455">
        <f t="shared" si="8"/>
        <v>3433.0312875001869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18820.108587400853</v>
      </c>
    </row>
    <row r="28" spans="1:17">
      <c r="A28" s="450" t="s">
        <v>553</v>
      </c>
      <c r="B28" s="451">
        <f t="shared" ca="1" si="2"/>
        <v>0</v>
      </c>
      <c r="C28" s="451">
        <f t="shared" ca="1" si="3"/>
        <v>0</v>
      </c>
      <c r="D28" s="451">
        <f t="shared" si="4"/>
        <v>0</v>
      </c>
      <c r="E28" s="451">
        <f t="shared" si="5"/>
        <v>0</v>
      </c>
      <c r="F28" s="451">
        <f t="shared" si="6"/>
        <v>0</v>
      </c>
      <c r="G28" s="451">
        <f t="shared" si="7"/>
        <v>196.47643091885328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196.47643091885328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172.83355816646659</v>
      </c>
      <c r="C32" s="451">
        <f t="shared" ca="1" si="3"/>
        <v>0</v>
      </c>
      <c r="D32" s="451">
        <f t="shared" si="4"/>
        <v>249.32896048919997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422.16251865566653</v>
      </c>
    </row>
    <row r="33" spans="1:17" s="460" customFormat="1">
      <c r="A33" s="1004" t="s">
        <v>557</v>
      </c>
      <c r="B33" s="944">
        <f ca="1">SUM(B22:B32)</f>
        <v>15750.579069066247</v>
      </c>
      <c r="C33" s="944">
        <f t="shared" ref="C33:Q33" ca="1" si="18">SUM(C22:C32)</f>
        <v>0</v>
      </c>
      <c r="D33" s="944">
        <f t="shared" ca="1" si="18"/>
        <v>15371.374054088303</v>
      </c>
      <c r="E33" s="944">
        <f t="shared" si="18"/>
        <v>4738.5477152705153</v>
      </c>
      <c r="F33" s="944">
        <f t="shared" ca="1" si="18"/>
        <v>20863.509131103325</v>
      </c>
      <c r="G33" s="944">
        <f t="shared" si="18"/>
        <v>15530.608745161107</v>
      </c>
      <c r="H33" s="944">
        <f t="shared" si="18"/>
        <v>3433.0312875001869</v>
      </c>
      <c r="I33" s="944">
        <f t="shared" si="18"/>
        <v>0</v>
      </c>
      <c r="J33" s="944">
        <f t="shared" si="18"/>
        <v>121.0628950471303</v>
      </c>
      <c r="K33" s="944">
        <f t="shared" si="18"/>
        <v>0</v>
      </c>
      <c r="L33" s="944">
        <f t="shared" ca="1" si="18"/>
        <v>0</v>
      </c>
      <c r="M33" s="944">
        <f t="shared" si="18"/>
        <v>0</v>
      </c>
      <c r="N33" s="944">
        <f t="shared" ca="1" si="18"/>
        <v>0</v>
      </c>
      <c r="O33" s="944">
        <f t="shared" si="18"/>
        <v>0</v>
      </c>
      <c r="P33" s="944">
        <f t="shared" si="18"/>
        <v>0</v>
      </c>
      <c r="Q33" s="944">
        <f t="shared" ca="1" si="18"/>
        <v>75808.712897236794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11247.317081912443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11247.317081912443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0.19087699603937539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0.19087699603937539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0.19087699603937539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0.19087699603937539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9091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2904.9</v>
      </c>
      <c r="C14" s="330"/>
      <c r="D14" s="330"/>
      <c r="E14" s="330"/>
      <c r="F14" s="330"/>
    </row>
    <row r="15" spans="1:6">
      <c r="A15" s="1291" t="s">
        <v>183</v>
      </c>
      <c r="B15" s="1292">
        <v>1486</v>
      </c>
      <c r="C15" s="330"/>
      <c r="D15" s="330"/>
      <c r="E15" s="330"/>
      <c r="F15" s="330"/>
    </row>
    <row r="16" spans="1:6">
      <c r="A16" s="1291" t="s">
        <v>6</v>
      </c>
      <c r="B16" s="1292">
        <v>548</v>
      </c>
      <c r="C16" s="330"/>
      <c r="D16" s="330"/>
      <c r="E16" s="330"/>
      <c r="F16" s="330"/>
    </row>
    <row r="17" spans="1:6">
      <c r="A17" s="1291" t="s">
        <v>7</v>
      </c>
      <c r="B17" s="1292">
        <v>139</v>
      </c>
      <c r="C17" s="330"/>
      <c r="D17" s="330"/>
      <c r="E17" s="330"/>
      <c r="F17" s="330"/>
    </row>
    <row r="18" spans="1:6">
      <c r="A18" s="1291" t="s">
        <v>8</v>
      </c>
      <c r="B18" s="1292">
        <v>347</v>
      </c>
      <c r="C18" s="330"/>
      <c r="D18" s="330"/>
      <c r="E18" s="330"/>
      <c r="F18" s="330"/>
    </row>
    <row r="19" spans="1:6">
      <c r="A19" s="1291" t="s">
        <v>9</v>
      </c>
      <c r="B19" s="1292">
        <v>328</v>
      </c>
      <c r="C19" s="330"/>
      <c r="D19" s="330"/>
      <c r="E19" s="330"/>
      <c r="F19" s="330"/>
    </row>
    <row r="20" spans="1:6">
      <c r="A20" s="1291" t="s">
        <v>10</v>
      </c>
      <c r="B20" s="1292">
        <v>200</v>
      </c>
      <c r="C20" s="330"/>
      <c r="D20" s="330"/>
      <c r="E20" s="330"/>
      <c r="F20" s="330"/>
    </row>
    <row r="21" spans="1:6">
      <c r="A21" s="1291" t="s">
        <v>11</v>
      </c>
      <c r="B21" s="1292">
        <v>4293</v>
      </c>
      <c r="C21" s="330"/>
      <c r="D21" s="330"/>
      <c r="E21" s="330"/>
      <c r="F21" s="330"/>
    </row>
    <row r="22" spans="1:6">
      <c r="A22" s="1291" t="s">
        <v>12</v>
      </c>
      <c r="B22" s="1292">
        <v>16045</v>
      </c>
      <c r="C22" s="330"/>
      <c r="D22" s="330"/>
      <c r="E22" s="330"/>
      <c r="F22" s="330"/>
    </row>
    <row r="23" spans="1:6">
      <c r="A23" s="1291" t="s">
        <v>13</v>
      </c>
      <c r="B23" s="1292">
        <v>263</v>
      </c>
      <c r="C23" s="330"/>
      <c r="D23" s="330"/>
      <c r="E23" s="330"/>
      <c r="F23" s="330"/>
    </row>
    <row r="24" spans="1:6">
      <c r="A24" s="1291" t="s">
        <v>14</v>
      </c>
      <c r="B24" s="1292">
        <v>9</v>
      </c>
      <c r="C24" s="330"/>
      <c r="D24" s="330"/>
      <c r="E24" s="330"/>
      <c r="F24" s="330"/>
    </row>
    <row r="25" spans="1:6">
      <c r="A25" s="1291" t="s">
        <v>15</v>
      </c>
      <c r="B25" s="1292">
        <v>911</v>
      </c>
      <c r="C25" s="330"/>
      <c r="D25" s="330"/>
      <c r="E25" s="330"/>
      <c r="F25" s="330"/>
    </row>
    <row r="26" spans="1:6">
      <c r="A26" s="1291" t="s">
        <v>16</v>
      </c>
      <c r="B26" s="1292">
        <v>882</v>
      </c>
      <c r="C26" s="330"/>
      <c r="D26" s="330"/>
      <c r="E26" s="330"/>
      <c r="F26" s="330"/>
    </row>
    <row r="27" spans="1:6">
      <c r="A27" s="1291" t="s">
        <v>17</v>
      </c>
      <c r="B27" s="1292">
        <v>37</v>
      </c>
      <c r="C27" s="330"/>
      <c r="D27" s="330"/>
      <c r="E27" s="330"/>
      <c r="F27" s="330"/>
    </row>
    <row r="28" spans="1:6" s="43" customFormat="1">
      <c r="A28" s="1293" t="s">
        <v>18</v>
      </c>
      <c r="B28" s="1294">
        <v>90688</v>
      </c>
      <c r="C28" s="336"/>
      <c r="D28" s="336"/>
      <c r="E28" s="336"/>
      <c r="F28" s="336"/>
    </row>
    <row r="29" spans="1:6">
      <c r="A29" s="1293" t="s">
        <v>892</v>
      </c>
      <c r="B29" s="1294">
        <v>286</v>
      </c>
      <c r="C29" s="336"/>
      <c r="D29" s="336"/>
      <c r="E29" s="336"/>
      <c r="F29" s="336"/>
    </row>
    <row r="30" spans="1:6">
      <c r="A30" s="1286" t="s">
        <v>893</v>
      </c>
      <c r="B30" s="1295">
        <v>105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3</v>
      </c>
      <c r="D36" s="1292">
        <v>318157.60252000001</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4683.2109178999999</v>
      </c>
    </row>
    <row r="39" spans="1:6">
      <c r="A39" s="1291" t="s">
        <v>29</v>
      </c>
      <c r="B39" s="1291" t="s">
        <v>30</v>
      </c>
      <c r="C39" s="1292">
        <v>3759</v>
      </c>
      <c r="D39" s="1292">
        <v>56676290.850000001</v>
      </c>
      <c r="E39" s="1292">
        <v>9079</v>
      </c>
      <c r="F39" s="1292">
        <v>32981707.736000001</v>
      </c>
    </row>
    <row r="40" spans="1:6">
      <c r="A40" s="1291" t="s">
        <v>29</v>
      </c>
      <c r="B40" s="1291" t="s">
        <v>28</v>
      </c>
      <c r="C40" s="1292">
        <v>0</v>
      </c>
      <c r="D40" s="1292">
        <v>0</v>
      </c>
      <c r="E40" s="1292">
        <v>0</v>
      </c>
      <c r="F40" s="1292">
        <v>0</v>
      </c>
    </row>
    <row r="41" spans="1:6">
      <c r="A41" s="1291" t="s">
        <v>31</v>
      </c>
      <c r="B41" s="1291" t="s">
        <v>32</v>
      </c>
      <c r="C41" s="1292">
        <v>38</v>
      </c>
      <c r="D41" s="1292">
        <v>860038.19417999999</v>
      </c>
      <c r="E41" s="1292">
        <v>160</v>
      </c>
      <c r="F41" s="1292">
        <v>1234704.8234999999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691298.57239999995</v>
      </c>
      <c r="E44" s="1292">
        <v>22</v>
      </c>
      <c r="F44" s="1292">
        <v>3365789.6967000002</v>
      </c>
    </row>
    <row r="45" spans="1:6">
      <c r="A45" s="1291" t="s">
        <v>31</v>
      </c>
      <c r="B45" s="1291" t="s">
        <v>36</v>
      </c>
      <c r="C45" s="1292">
        <v>0</v>
      </c>
      <c r="D45" s="1292">
        <v>0</v>
      </c>
      <c r="E45" s="1292">
        <v>6</v>
      </c>
      <c r="F45" s="1292">
        <v>313317.84814000002</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21534.27234</v>
      </c>
    </row>
    <row r="48" spans="1:6">
      <c r="A48" s="1291" t="s">
        <v>31</v>
      </c>
      <c r="B48" s="1291" t="s">
        <v>28</v>
      </c>
      <c r="C48" s="1292">
        <v>23</v>
      </c>
      <c r="D48" s="1292">
        <v>10938744.965</v>
      </c>
      <c r="E48" s="1292">
        <v>38</v>
      </c>
      <c r="F48" s="1292">
        <v>13500921.242000001</v>
      </c>
    </row>
    <row r="49" spans="1:6">
      <c r="A49" s="1291" t="s">
        <v>31</v>
      </c>
      <c r="B49" s="1291" t="s">
        <v>39</v>
      </c>
      <c r="C49" s="1292">
        <v>0</v>
      </c>
      <c r="D49" s="1292">
        <v>0</v>
      </c>
      <c r="E49" s="1292">
        <v>3</v>
      </c>
      <c r="F49" s="1292">
        <v>13390.725324999999</v>
      </c>
    </row>
    <row r="50" spans="1:6">
      <c r="A50" s="1291" t="s">
        <v>31</v>
      </c>
      <c r="B50" s="1291" t="s">
        <v>40</v>
      </c>
      <c r="C50" s="1292">
        <v>3</v>
      </c>
      <c r="D50" s="1292">
        <v>1225195.4449</v>
      </c>
      <c r="E50" s="1292">
        <v>12</v>
      </c>
      <c r="F50" s="1292">
        <v>1091930.6442</v>
      </c>
    </row>
    <row r="51" spans="1:6">
      <c r="A51" s="1291" t="s">
        <v>41</v>
      </c>
      <c r="B51" s="1291" t="s">
        <v>42</v>
      </c>
      <c r="C51" s="1292">
        <v>0</v>
      </c>
      <c r="D51" s="1292">
        <v>0</v>
      </c>
      <c r="E51" s="1292">
        <v>54</v>
      </c>
      <c r="F51" s="1292">
        <v>1179637.7191999999</v>
      </c>
    </row>
    <row r="52" spans="1:6">
      <c r="A52" s="1291" t="s">
        <v>41</v>
      </c>
      <c r="B52" s="1291" t="s">
        <v>28</v>
      </c>
      <c r="C52" s="1292">
        <v>4</v>
      </c>
      <c r="D52" s="1292">
        <v>110374.02807</v>
      </c>
      <c r="E52" s="1292">
        <v>14</v>
      </c>
      <c r="F52" s="1292">
        <v>423031.45831000002</v>
      </c>
    </row>
    <row r="53" spans="1:6">
      <c r="A53" s="1291" t="s">
        <v>43</v>
      </c>
      <c r="B53" s="1291" t="s">
        <v>44</v>
      </c>
      <c r="C53" s="1292">
        <v>63</v>
      </c>
      <c r="D53" s="1292">
        <v>1234301.7845999999</v>
      </c>
      <c r="E53" s="1292">
        <v>273</v>
      </c>
      <c r="F53" s="1292">
        <v>905470.86213999998</v>
      </c>
    </row>
    <row r="54" spans="1:6">
      <c r="A54" s="1291" t="s">
        <v>45</v>
      </c>
      <c r="B54" s="1291" t="s">
        <v>46</v>
      </c>
      <c r="C54" s="1292">
        <v>0</v>
      </c>
      <c r="D54" s="1292">
        <v>0</v>
      </c>
      <c r="E54" s="1292">
        <v>1</v>
      </c>
      <c r="F54" s="1292">
        <v>1383983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41</v>
      </c>
      <c r="D57" s="1292">
        <v>2401402.8846</v>
      </c>
      <c r="E57" s="1292">
        <v>147</v>
      </c>
      <c r="F57" s="1292">
        <v>4447561.7813999997</v>
      </c>
    </row>
    <row r="58" spans="1:6">
      <c r="A58" s="1291" t="s">
        <v>48</v>
      </c>
      <c r="B58" s="1291" t="s">
        <v>50</v>
      </c>
      <c r="C58" s="1292">
        <v>15</v>
      </c>
      <c r="D58" s="1292">
        <v>969812.63054000004</v>
      </c>
      <c r="E58" s="1292">
        <v>26</v>
      </c>
      <c r="F58" s="1292">
        <v>388959.61144000001</v>
      </c>
    </row>
    <row r="59" spans="1:6">
      <c r="A59" s="1291" t="s">
        <v>48</v>
      </c>
      <c r="B59" s="1291" t="s">
        <v>51</v>
      </c>
      <c r="C59" s="1292">
        <v>28</v>
      </c>
      <c r="D59" s="1292">
        <v>1600825.8703000001</v>
      </c>
      <c r="E59" s="1292">
        <v>202</v>
      </c>
      <c r="F59" s="1292">
        <v>4926019.8909999998</v>
      </c>
    </row>
    <row r="60" spans="1:6">
      <c r="A60" s="1291" t="s">
        <v>48</v>
      </c>
      <c r="B60" s="1291" t="s">
        <v>52</v>
      </c>
      <c r="C60" s="1292">
        <v>31</v>
      </c>
      <c r="D60" s="1292">
        <v>1622726.8851000001</v>
      </c>
      <c r="E60" s="1292">
        <v>78</v>
      </c>
      <c r="F60" s="1292">
        <v>1918140.3296999999</v>
      </c>
    </row>
    <row r="61" spans="1:6">
      <c r="A61" s="1291" t="s">
        <v>48</v>
      </c>
      <c r="B61" s="1291" t="s">
        <v>53</v>
      </c>
      <c r="C61" s="1292">
        <v>28</v>
      </c>
      <c r="D61" s="1292">
        <v>885404.63179000001</v>
      </c>
      <c r="E61" s="1292">
        <v>162</v>
      </c>
      <c r="F61" s="1292">
        <v>2622059.5874999999</v>
      </c>
    </row>
    <row r="62" spans="1:6">
      <c r="A62" s="1291" t="s">
        <v>48</v>
      </c>
      <c r="B62" s="1291" t="s">
        <v>54</v>
      </c>
      <c r="C62" s="1292">
        <v>0</v>
      </c>
      <c r="D62" s="1292">
        <v>0</v>
      </c>
      <c r="E62" s="1292">
        <v>6</v>
      </c>
      <c r="F62" s="1292">
        <v>42514.257383999997</v>
      </c>
    </row>
    <row r="63" spans="1:6">
      <c r="A63" s="1291" t="s">
        <v>48</v>
      </c>
      <c r="B63" s="1291" t="s">
        <v>28</v>
      </c>
      <c r="C63" s="1292">
        <v>116</v>
      </c>
      <c r="D63" s="1292">
        <v>4968180.1457000002</v>
      </c>
      <c r="E63" s="1292">
        <v>135</v>
      </c>
      <c r="F63" s="1292">
        <v>3118542.68</v>
      </c>
    </row>
    <row r="64" spans="1:6">
      <c r="A64" s="1291" t="s">
        <v>55</v>
      </c>
      <c r="B64" s="1291" t="s">
        <v>56</v>
      </c>
      <c r="C64" s="1292">
        <v>0</v>
      </c>
      <c r="D64" s="1292">
        <v>0</v>
      </c>
      <c r="E64" s="1292">
        <v>0</v>
      </c>
      <c r="F64" s="1292">
        <v>0</v>
      </c>
    </row>
    <row r="65" spans="1:6">
      <c r="A65" s="1291" t="s">
        <v>55</v>
      </c>
      <c r="B65" s="1291" t="s">
        <v>28</v>
      </c>
      <c r="C65" s="1292">
        <v>3</v>
      </c>
      <c r="D65" s="1292">
        <v>73894.876097999993</v>
      </c>
      <c r="E65" s="1292">
        <v>5</v>
      </c>
      <c r="F65" s="1292">
        <v>85951.331042000005</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42123.626584999998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81432818</v>
      </c>
      <c r="E73" s="449"/>
      <c r="F73" s="330"/>
    </row>
    <row r="74" spans="1:6">
      <c r="A74" s="1291" t="s">
        <v>63</v>
      </c>
      <c r="B74" s="1291" t="s">
        <v>664</v>
      </c>
      <c r="C74" s="1305" t="s">
        <v>666</v>
      </c>
      <c r="D74" s="1306">
        <v>2977109.6041206312</v>
      </c>
      <c r="E74" s="449"/>
      <c r="F74" s="330"/>
    </row>
    <row r="75" spans="1:6">
      <c r="A75" s="1291" t="s">
        <v>64</v>
      </c>
      <c r="B75" s="1291" t="s">
        <v>663</v>
      </c>
      <c r="C75" s="1305" t="s">
        <v>667</v>
      </c>
      <c r="D75" s="1306">
        <v>16241868</v>
      </c>
      <c r="E75" s="449"/>
      <c r="F75" s="330"/>
    </row>
    <row r="76" spans="1:6">
      <c r="A76" s="1291" t="s">
        <v>64</v>
      </c>
      <c r="B76" s="1291" t="s">
        <v>664</v>
      </c>
      <c r="C76" s="1305" t="s">
        <v>668</v>
      </c>
      <c r="D76" s="1306">
        <v>263691.604120631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205850.79175873796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8617.5906838149331</v>
      </c>
      <c r="C91" s="330"/>
      <c r="D91" s="330"/>
      <c r="E91" s="330"/>
      <c r="F91" s="330"/>
    </row>
    <row r="92" spans="1:6">
      <c r="A92" s="1286" t="s">
        <v>68</v>
      </c>
      <c r="B92" s="1287">
        <v>2629.7263980975099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706</v>
      </c>
      <c r="C97" s="330"/>
      <c r="D97" s="330"/>
      <c r="E97" s="330"/>
      <c r="F97" s="330"/>
    </row>
    <row r="98" spans="1:6">
      <c r="A98" s="1291" t="s">
        <v>71</v>
      </c>
      <c r="B98" s="1292">
        <v>9</v>
      </c>
      <c r="C98" s="330"/>
      <c r="D98" s="330"/>
      <c r="E98" s="330"/>
      <c r="F98" s="330"/>
    </row>
    <row r="99" spans="1:6">
      <c r="A99" s="1291" t="s">
        <v>72</v>
      </c>
      <c r="B99" s="1292">
        <v>68</v>
      </c>
      <c r="C99" s="330"/>
      <c r="D99" s="330"/>
      <c r="E99" s="330"/>
      <c r="F99" s="330"/>
    </row>
    <row r="100" spans="1:6">
      <c r="A100" s="1291" t="s">
        <v>73</v>
      </c>
      <c r="B100" s="1292">
        <v>447</v>
      </c>
      <c r="C100" s="330"/>
      <c r="D100" s="330"/>
      <c r="E100" s="330"/>
      <c r="F100" s="330"/>
    </row>
    <row r="101" spans="1:6">
      <c r="A101" s="1291" t="s">
        <v>74</v>
      </c>
      <c r="B101" s="1292">
        <v>116</v>
      </c>
      <c r="C101" s="330"/>
      <c r="D101" s="330"/>
      <c r="E101" s="330"/>
      <c r="F101" s="330"/>
    </row>
    <row r="102" spans="1:6">
      <c r="A102" s="1291" t="s">
        <v>75</v>
      </c>
      <c r="B102" s="1292">
        <v>76</v>
      </c>
      <c r="C102" s="330"/>
      <c r="D102" s="330"/>
      <c r="E102" s="330"/>
      <c r="F102" s="330"/>
    </row>
    <row r="103" spans="1:6">
      <c r="A103" s="1291" t="s">
        <v>76</v>
      </c>
      <c r="B103" s="1292">
        <v>293</v>
      </c>
      <c r="C103" s="330"/>
      <c r="D103" s="330"/>
      <c r="E103" s="330"/>
      <c r="F103" s="330"/>
    </row>
    <row r="104" spans="1:6">
      <c r="A104" s="1291" t="s">
        <v>77</v>
      </c>
      <c r="B104" s="1292">
        <v>5797</v>
      </c>
      <c r="C104" s="330"/>
      <c r="D104" s="330"/>
      <c r="E104" s="330"/>
      <c r="F104" s="330"/>
    </row>
    <row r="105" spans="1:6">
      <c r="A105" s="1286" t="s">
        <v>78</v>
      </c>
      <c r="B105" s="1295">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54</v>
      </c>
      <c r="C123" s="1292">
        <v>89</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409</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52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82516.905629723493</v>
      </c>
      <c r="C3" s="43" t="s">
        <v>169</v>
      </c>
      <c r="D3" s="43"/>
      <c r="E3" s="154"/>
      <c r="F3" s="43"/>
      <c r="G3" s="43"/>
      <c r="H3" s="43"/>
      <c r="I3" s="43"/>
      <c r="J3" s="43"/>
      <c r="K3" s="96"/>
    </row>
    <row r="4" spans="1:11">
      <c r="A4" s="358" t="s">
        <v>170</v>
      </c>
      <c r="B4" s="49">
        <f>IF(ISERROR('SEAP template'!B78+'SEAP template'!C78),0,'SEAP template'!B78+'SEAP template'!C78)</f>
        <v>11247.317081912443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0.19087699603937539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1383.9829999999999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1383.9829999999999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0.19087699603937539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264.17051760956286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32981.707736000004</v>
      </c>
      <c r="C5" s="17">
        <f>IF(ISERROR('Eigen informatie GS &amp; warmtenet'!B57),0,'Eigen informatie GS &amp; warmtenet'!B57)</f>
        <v>0</v>
      </c>
      <c r="D5" s="30">
        <f>(SUM(HH_hh_gas_kWh,HH_rest_gas_kWh)/1000)*0.902</f>
        <v>51122.014346700009</v>
      </c>
      <c r="E5" s="17">
        <f>B46*B57</f>
        <v>19134.52721277278</v>
      </c>
      <c r="F5" s="17">
        <f>B51*B62</f>
        <v>62162.218490048559</v>
      </c>
      <c r="G5" s="18"/>
      <c r="H5" s="17"/>
      <c r="I5" s="17"/>
      <c r="J5" s="17">
        <f>B50*B61+C50*C61</f>
        <v>0</v>
      </c>
      <c r="K5" s="17"/>
      <c r="L5" s="17"/>
      <c r="M5" s="17"/>
      <c r="N5" s="17">
        <f>B48*B59+C48*C59</f>
        <v>26084.881094257154</v>
      </c>
      <c r="O5" s="17">
        <f>B69*B70*B71</f>
        <v>780.10333333333347</v>
      </c>
      <c r="P5" s="17">
        <f>B77*B78*B79/1000-B77*B78*B79/1000/B80</f>
        <v>2040.1333333333332</v>
      </c>
    </row>
    <row r="6" spans="1:16">
      <c r="A6" s="16" t="s">
        <v>623</v>
      </c>
      <c r="B6" s="762">
        <f>kWh_PV_kleiner_dan_10kW</f>
        <v>8617.5906838149331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41599.298419814935</v>
      </c>
      <c r="C8" s="21">
        <f>C5</f>
        <v>0</v>
      </c>
      <c r="D8" s="21">
        <f>D5</f>
        <v>51122.014346700009</v>
      </c>
      <c r="E8" s="21">
        <f>E5</f>
        <v>19134.52721277278</v>
      </c>
      <c r="F8" s="21">
        <f>F5</f>
        <v>62162.218490048559</v>
      </c>
      <c r="G8" s="21"/>
      <c r="H8" s="21"/>
      <c r="I8" s="21"/>
      <c r="J8" s="21">
        <f>J5</f>
        <v>0</v>
      </c>
      <c r="K8" s="21"/>
      <c r="L8" s="21">
        <f>L5</f>
        <v>0</v>
      </c>
      <c r="M8" s="21">
        <f>M5</f>
        <v>0</v>
      </c>
      <c r="N8" s="21">
        <f>N5</f>
        <v>26084.881094257154</v>
      </c>
      <c r="O8" s="21">
        <f>O5</f>
        <v>780.10333333333347</v>
      </c>
      <c r="P8" s="21">
        <f>P5</f>
        <v>2040.1333333333332</v>
      </c>
    </row>
    <row r="9" spans="1:16">
      <c r="B9" s="19"/>
      <c r="C9" s="19"/>
      <c r="D9" s="258"/>
      <c r="E9" s="19"/>
      <c r="F9" s="19"/>
      <c r="G9" s="19"/>
      <c r="H9" s="19"/>
      <c r="I9" s="19"/>
      <c r="J9" s="19"/>
      <c r="K9" s="19"/>
      <c r="L9" s="19"/>
      <c r="M9" s="19"/>
      <c r="N9" s="19"/>
      <c r="O9" s="19"/>
      <c r="P9" s="19"/>
    </row>
    <row r="10" spans="1:16">
      <c r="A10" s="24" t="s">
        <v>213</v>
      </c>
      <c r="B10" s="25">
        <f ca="1">'EF ele_warmte'!B12</f>
        <v>0.19087699603937539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7940.34911971981</v>
      </c>
      <c r="C12" s="23">
        <f ca="1">C10*C8</f>
        <v>0</v>
      </c>
      <c r="D12" s="23">
        <f>D8*D10</f>
        <v>10326.646898033403</v>
      </c>
      <c r="E12" s="23">
        <f>E10*E8</f>
        <v>4343.5376772994214</v>
      </c>
      <c r="F12" s="23">
        <f>F10*F8</f>
        <v>16597.312336842966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706</v>
      </c>
      <c r="C18" s="166" t="s">
        <v>110</v>
      </c>
      <c r="D18" s="228"/>
      <c r="E18" s="15"/>
    </row>
    <row r="19" spans="1:7">
      <c r="A19" s="171" t="s">
        <v>71</v>
      </c>
      <c r="B19" s="37">
        <f>aantalw2001_ander</f>
        <v>9</v>
      </c>
      <c r="C19" s="166" t="s">
        <v>110</v>
      </c>
      <c r="D19" s="229"/>
      <c r="E19" s="15"/>
    </row>
    <row r="20" spans="1:7">
      <c r="A20" s="171" t="s">
        <v>72</v>
      </c>
      <c r="B20" s="37">
        <f>aantalw2001_propaan</f>
        <v>68</v>
      </c>
      <c r="C20" s="167">
        <f>IF(ISERROR(B20/SUM($B$20,$B$21,$B$22)*100),0,B20/SUM($B$20,$B$21,$B$22)*100)</f>
        <v>10.776545166402537</v>
      </c>
      <c r="D20" s="229"/>
      <c r="E20" s="15"/>
    </row>
    <row r="21" spans="1:7">
      <c r="A21" s="171" t="s">
        <v>73</v>
      </c>
      <c r="B21" s="37">
        <f>aantalw2001_elektriciteit</f>
        <v>447</v>
      </c>
      <c r="C21" s="167">
        <f>IF(ISERROR(B21/SUM($B$20,$B$21,$B$22)*100),0,B21/SUM($B$20,$B$21,$B$22)*100)</f>
        <v>70.839936608557835</v>
      </c>
      <c r="D21" s="229"/>
      <c r="E21" s="15"/>
    </row>
    <row r="22" spans="1:7">
      <c r="A22" s="171" t="s">
        <v>74</v>
      </c>
      <c r="B22" s="37">
        <f>aantalw2001_hout</f>
        <v>116</v>
      </c>
      <c r="C22" s="167">
        <f>IF(ISERROR(B22/SUM($B$20,$B$21,$B$22)*100),0,B22/SUM($B$20,$B$21,$B$22)*100)</f>
        <v>18.383518225039619</v>
      </c>
      <c r="D22" s="229"/>
      <c r="E22" s="15"/>
    </row>
    <row r="23" spans="1:7">
      <c r="A23" s="171" t="s">
        <v>75</v>
      </c>
      <c r="B23" s="37">
        <f>aantalw2001_niet_gespec</f>
        <v>76</v>
      </c>
      <c r="C23" s="166" t="s">
        <v>110</v>
      </c>
      <c r="D23" s="228"/>
      <c r="E23" s="15"/>
    </row>
    <row r="24" spans="1:7">
      <c r="A24" s="171" t="s">
        <v>76</v>
      </c>
      <c r="B24" s="37">
        <f>aantalw2001_steenkool</f>
        <v>293</v>
      </c>
      <c r="C24" s="166" t="s">
        <v>110</v>
      </c>
      <c r="D24" s="229"/>
      <c r="E24" s="15"/>
    </row>
    <row r="25" spans="1:7">
      <c r="A25" s="171" t="s">
        <v>77</v>
      </c>
      <c r="B25" s="37">
        <f>aantalw2001_stookolie</f>
        <v>5797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695</v>
      </c>
      <c r="B28" s="37">
        <f>aantalHuishoudens</f>
        <v>9091</v>
      </c>
      <c r="C28" s="36"/>
      <c r="D28" s="228"/>
    </row>
    <row r="29" spans="1:7" s="15" customFormat="1">
      <c r="A29" s="230" t="s">
        <v>696</v>
      </c>
      <c r="B29" s="37">
        <f>SUM(HH_hh_gas_aantal,HH_rest_gas_aantal)</f>
        <v>3759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3759</v>
      </c>
      <c r="C32" s="167">
        <f>IF(ISERROR(B32/SUM($B$32,$B$34,$B$35,$B$36,$B$38,$B$39)*100),0,B32/SUM($B$32,$B$34,$B$35,$B$36,$B$38,$B$39)*100)</f>
        <v>41.841050756901161</v>
      </c>
      <c r="D32" s="233"/>
      <c r="G32" s="15"/>
    </row>
    <row r="33" spans="1:7">
      <c r="A33" s="171" t="s">
        <v>71</v>
      </c>
      <c r="B33" s="34" t="s">
        <v>110</v>
      </c>
      <c r="C33" s="167"/>
      <c r="D33" s="233"/>
      <c r="G33" s="15"/>
    </row>
    <row r="34" spans="1:7">
      <c r="A34" s="171" t="s">
        <v>72</v>
      </c>
      <c r="B34" s="33">
        <f>IF((($B$28-$B$32-$B$39-$B$77-$B$38)*C20/100)&lt;0,0,($B$28-$B$32-$B$39-$B$77-$B$38)*C20/100)</f>
        <v>234.46529318542002</v>
      </c>
      <c r="C34" s="167">
        <f>IF(ISERROR(B34/SUM($B$32,$B$34,$B$35,$B$36,$B$38,$B$39)*100),0,B34/SUM($B$32,$B$34,$B$35,$B$36,$B$38,$B$39)*100)</f>
        <v>2.6098095857682546</v>
      </c>
      <c r="D34" s="233"/>
      <c r="G34" s="15"/>
    </row>
    <row r="35" spans="1:7">
      <c r="A35" s="171" t="s">
        <v>73</v>
      </c>
      <c r="B35" s="33">
        <f>IF((($B$28-$B$32-$B$39-$B$77-$B$38)*C21/100)&lt;0,0,($B$28-$B$32-$B$39-$B$77-$B$38)*C21/100)</f>
        <v>1541.2645007923929</v>
      </c>
      <c r="C35" s="167">
        <f>IF(ISERROR(B35/SUM($B$32,$B$34,$B$35,$B$36,$B$38,$B$39)*100),0,B35/SUM($B$32,$B$34,$B$35,$B$36,$B$38,$B$39)*100)</f>
        <v>17.155660071153083</v>
      </c>
      <c r="D35" s="233"/>
      <c r="G35" s="15"/>
    </row>
    <row r="36" spans="1:7">
      <c r="A36" s="171" t="s">
        <v>74</v>
      </c>
      <c r="B36" s="33">
        <f>IF((($B$28-$B$32-$B$39-$B$77-$B$38)*C22/100)&lt;0,0,($B$28-$B$32-$B$39-$B$77-$B$38)*C22/100)</f>
        <v>399.97020602218703</v>
      </c>
      <c r="C36" s="167">
        <f>IF(ISERROR(B36/SUM($B$32,$B$34,$B$35,$B$36,$B$38,$B$39)*100),0,B36/SUM($B$32,$B$34,$B$35,$B$36,$B$38,$B$39)*100)</f>
        <v>4.452028116898787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3049.2999999999997</v>
      </c>
      <c r="C39" s="167">
        <f>IF(ISERROR(B39/SUM($B$32,$B$34,$B$35,$B$36,$B$38,$B$39)*100),0,B39/SUM($B$32,$B$34,$B$35,$B$36,$B$38,$B$39)*100)</f>
        <v>33.941451469278718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3759</v>
      </c>
      <c r="C44" s="34" t="s">
        <v>110</v>
      </c>
      <c r="D44" s="174"/>
    </row>
    <row r="45" spans="1:7">
      <c r="A45" s="171" t="s">
        <v>71</v>
      </c>
      <c r="B45" s="33" t="str">
        <f t="shared" si="0"/>
        <v>-</v>
      </c>
      <c r="C45" s="34" t="s">
        <v>110</v>
      </c>
      <c r="D45" s="174"/>
    </row>
    <row r="46" spans="1:7">
      <c r="A46" s="171" t="s">
        <v>72</v>
      </c>
      <c r="B46" s="33">
        <f t="shared" si="0"/>
        <v>234.46529318542002</v>
      </c>
      <c r="C46" s="34" t="s">
        <v>110</v>
      </c>
      <c r="D46" s="174"/>
    </row>
    <row r="47" spans="1:7">
      <c r="A47" s="171" t="s">
        <v>73</v>
      </c>
      <c r="B47" s="33">
        <f t="shared" si="0"/>
        <v>1541.2645007923929</v>
      </c>
      <c r="C47" s="34" t="s">
        <v>110</v>
      </c>
      <c r="D47" s="174"/>
    </row>
    <row r="48" spans="1:7">
      <c r="A48" s="171" t="s">
        <v>74</v>
      </c>
      <c r="B48" s="33">
        <f t="shared" si="0"/>
        <v>399.97020602218703</v>
      </c>
      <c r="C48" s="33">
        <f>B48*10</f>
        <v>3999.7020602218704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3049.2999999999997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499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17463.798138423997</v>
      </c>
      <c r="C5" s="17">
        <f>IF(ISERROR('Eigen informatie GS &amp; warmtenet'!B58),0,'Eigen informatie GS &amp; warmtenet'!B58)</f>
        <v>0</v>
      </c>
      <c r="D5" s="30">
        <f>SUM(D6:D12)</f>
        <v>11228.41444932306</v>
      </c>
      <c r="E5" s="17">
        <f>SUM(E6:E12)</f>
        <v>314.99689594052643</v>
      </c>
      <c r="F5" s="17">
        <f>SUM(F6:F12)</f>
        <v>4345.4490807903449</v>
      </c>
      <c r="G5" s="18"/>
      <c r="H5" s="17"/>
      <c r="I5" s="17"/>
      <c r="J5" s="17">
        <f>SUM(J6:J12)</f>
        <v>0</v>
      </c>
      <c r="K5" s="17"/>
      <c r="L5" s="17"/>
      <c r="M5" s="17"/>
      <c r="N5" s="17">
        <f>SUM(N6:N12)</f>
        <v>3793.7508654500652</v>
      </c>
      <c r="O5" s="17">
        <f>B38*B39*B40</f>
        <v>4.6900000000000004</v>
      </c>
      <c r="P5" s="17">
        <f>B46*B47*B48/1000-B46*B47*B48/1000/B49</f>
        <v>38.133333333333333</v>
      </c>
      <c r="R5" s="32"/>
    </row>
    <row r="6" spans="1:18">
      <c r="A6" s="32" t="s">
        <v>53</v>
      </c>
      <c r="B6" s="37">
        <f>B26</f>
        <v>2622.0595874999999</v>
      </c>
      <c r="C6" s="33"/>
      <c r="D6" s="37">
        <f>IF(ISERROR(TER_kantoor_gas_kWh/1000),0,TER_kantoor_gas_kWh/1000)*0.902</f>
        <v>798.63497787458004</v>
      </c>
      <c r="E6" s="33">
        <f>$C$26*'E Balans VL '!I12/100/3.6*1000000</f>
        <v>34.325989909436991</v>
      </c>
      <c r="F6" s="33">
        <f>$C$26*('E Balans VL '!L12+'E Balans VL '!N12)/100/3.6*1000000</f>
        <v>668.59809946086705</v>
      </c>
      <c r="G6" s="34"/>
      <c r="H6" s="33"/>
      <c r="I6" s="33"/>
      <c r="J6" s="33">
        <f>$C$26*('E Balans VL '!D12+'E Balans VL '!E12)/100/3.6*1000000</f>
        <v>0</v>
      </c>
      <c r="K6" s="33"/>
      <c r="L6" s="33"/>
      <c r="M6" s="33"/>
      <c r="N6" s="33">
        <f>$C$26*'E Balans VL '!Y12/100/3.6*1000000</f>
        <v>2.6308892327160285</v>
      </c>
      <c r="O6" s="33"/>
      <c r="P6" s="33"/>
      <c r="R6" s="32"/>
    </row>
    <row r="7" spans="1:18">
      <c r="A7" s="32" t="s">
        <v>52</v>
      </c>
      <c r="B7" s="37">
        <f t="shared" ref="B7:B12" si="0">B27</f>
        <v>1918.1403296999999</v>
      </c>
      <c r="C7" s="33"/>
      <c r="D7" s="37">
        <f>IF(ISERROR(TER_horeca_gas_kWh/1000),0,TER_horeca_gas_kWh/1000)*0.902</f>
        <v>1463.6996503602002</v>
      </c>
      <c r="E7" s="33">
        <f>$C$27*'E Balans VL '!I9/100/3.6*1000000</f>
        <v>63.478777256846932</v>
      </c>
      <c r="F7" s="33">
        <f>$C$27*('E Balans VL '!L9+'E Balans VL '!N9)/100/3.6*1000000</f>
        <v>824.79299056681805</v>
      </c>
      <c r="G7" s="34"/>
      <c r="H7" s="33"/>
      <c r="I7" s="33"/>
      <c r="J7" s="33">
        <f>$C$27*('E Balans VL '!D9+'E Balans VL '!E9)/100/3.6*1000000</f>
        <v>0</v>
      </c>
      <c r="K7" s="33"/>
      <c r="L7" s="33"/>
      <c r="M7" s="33"/>
      <c r="N7" s="33">
        <f>$C$27*'E Balans VL '!Y9/100/3.6*1000000</f>
        <v>0.46172423181314948</v>
      </c>
      <c r="O7" s="33"/>
      <c r="P7" s="33"/>
      <c r="R7" s="32"/>
    </row>
    <row r="8" spans="1:18">
      <c r="A8" s="6" t="s">
        <v>51</v>
      </c>
      <c r="B8" s="37">
        <f t="shared" si="0"/>
        <v>4926.0198909999999</v>
      </c>
      <c r="C8" s="33"/>
      <c r="D8" s="37">
        <f>IF(ISERROR(TER_handel_gas_kWh/1000),0,TER_handel_gas_kWh/1000)*0.902</f>
        <v>1443.9449350106001</v>
      </c>
      <c r="E8" s="33">
        <f>$C$28*'E Balans VL '!I13/100/3.6*1000000</f>
        <v>155.47271449430829</v>
      </c>
      <c r="F8" s="33">
        <f>$C$28*('E Balans VL '!L13+'E Balans VL '!N13)/100/3.6*1000000</f>
        <v>966.07924244997048</v>
      </c>
      <c r="G8" s="34"/>
      <c r="H8" s="33"/>
      <c r="I8" s="33"/>
      <c r="J8" s="33">
        <f>$C$28*('E Balans VL '!D13+'E Balans VL '!E13)/100/3.6*1000000</f>
        <v>0</v>
      </c>
      <c r="K8" s="33"/>
      <c r="L8" s="33"/>
      <c r="M8" s="33"/>
      <c r="N8" s="33">
        <f>$C$28*'E Balans VL '!Y13/100/3.6*1000000</f>
        <v>5.8462292355960672</v>
      </c>
      <c r="O8" s="33"/>
      <c r="P8" s="33"/>
      <c r="R8" s="32"/>
    </row>
    <row r="9" spans="1:18">
      <c r="A9" s="32" t="s">
        <v>50</v>
      </c>
      <c r="B9" s="37">
        <f t="shared" si="0"/>
        <v>388.95961144</v>
      </c>
      <c r="C9" s="33"/>
      <c r="D9" s="37">
        <f>IF(ISERROR(TER_gezond_gas_kWh/1000),0,TER_gezond_gas_kWh/1000)*0.902</f>
        <v>874.77099274707996</v>
      </c>
      <c r="E9" s="33">
        <f>$C$29*'E Balans VL '!I10/100/3.6*1000000</f>
        <v>4.9798209025279302E-2</v>
      </c>
      <c r="F9" s="33">
        <f>$C$29*('E Balans VL '!L10+'E Balans VL '!N10)/100/3.6*1000000</f>
        <v>81.036589854310407</v>
      </c>
      <c r="G9" s="34"/>
      <c r="H9" s="33"/>
      <c r="I9" s="33"/>
      <c r="J9" s="33">
        <f>$C$29*('E Balans VL '!D10+'E Balans VL '!E10)/100/3.6*1000000</f>
        <v>0</v>
      </c>
      <c r="K9" s="33"/>
      <c r="L9" s="33"/>
      <c r="M9" s="33"/>
      <c r="N9" s="33">
        <f>$C$29*'E Balans VL '!Y10/100/3.6*1000000</f>
        <v>4.5685144828446953</v>
      </c>
      <c r="O9" s="33"/>
      <c r="P9" s="33"/>
      <c r="R9" s="32"/>
    </row>
    <row r="10" spans="1:18">
      <c r="A10" s="32" t="s">
        <v>49</v>
      </c>
      <c r="B10" s="37">
        <f t="shared" si="0"/>
        <v>4447.5617813999997</v>
      </c>
      <c r="C10" s="33"/>
      <c r="D10" s="37">
        <f>IF(ISERROR(TER_ander_gas_kWh/1000),0,TER_ander_gas_kWh/1000)*0.902</f>
        <v>2166.0654019092003</v>
      </c>
      <c r="E10" s="33">
        <f>$C$30*'E Balans VL '!I14/100/3.6*1000000</f>
        <v>6.6880870057444639</v>
      </c>
      <c r="F10" s="33">
        <f>$C$30*('E Balans VL '!L14+'E Balans VL '!N14)/100/3.6*1000000</f>
        <v>981.87827597151932</v>
      </c>
      <c r="G10" s="34"/>
      <c r="H10" s="33"/>
      <c r="I10" s="33"/>
      <c r="J10" s="33">
        <f>$C$30*('E Balans VL '!D14+'E Balans VL '!E14)/100/3.6*1000000</f>
        <v>0</v>
      </c>
      <c r="K10" s="33"/>
      <c r="L10" s="33"/>
      <c r="M10" s="33"/>
      <c r="N10" s="33">
        <f>$C$30*'E Balans VL '!Y14/100/3.6*1000000</f>
        <v>3504.977993365992</v>
      </c>
      <c r="O10" s="33"/>
      <c r="P10" s="33"/>
      <c r="R10" s="32"/>
    </row>
    <row r="11" spans="1:18">
      <c r="A11" s="32" t="s">
        <v>54</v>
      </c>
      <c r="B11" s="37">
        <f t="shared" si="0"/>
        <v>42.514257383999997</v>
      </c>
      <c r="C11" s="33"/>
      <c r="D11" s="37">
        <f>IF(ISERROR(TER_onderwijs_gas_kWh/1000),0,TER_onderwijs_gas_kWh/1000)*0.902</f>
        <v>0</v>
      </c>
      <c r="E11" s="33">
        <f>$C$31*'E Balans VL '!I11/100/3.6*1000000</f>
        <v>7.4871169935677856E-2</v>
      </c>
      <c r="F11" s="33">
        <f>$C$31*('E Balans VL '!L11+'E Balans VL '!N11)/100/3.6*1000000</f>
        <v>19.629601928407805</v>
      </c>
      <c r="G11" s="34"/>
      <c r="H11" s="33"/>
      <c r="I11" s="33"/>
      <c r="J11" s="33">
        <f>$C$31*('E Balans VL '!D11+'E Balans VL '!E11)/100/3.6*1000000</f>
        <v>0</v>
      </c>
      <c r="K11" s="33"/>
      <c r="L11" s="33"/>
      <c r="M11" s="33"/>
      <c r="N11" s="33">
        <f>$C$31*'E Balans VL '!Y11/100/3.6*1000000</f>
        <v>7.9204649426649398E-2</v>
      </c>
      <c r="O11" s="33"/>
      <c r="P11" s="33"/>
      <c r="R11" s="32"/>
    </row>
    <row r="12" spans="1:18">
      <c r="A12" s="32" t="s">
        <v>259</v>
      </c>
      <c r="B12" s="37">
        <f t="shared" si="0"/>
        <v>3118.54268</v>
      </c>
      <c r="C12" s="33"/>
      <c r="D12" s="37">
        <f>IF(ISERROR(TER_rest_gas_kWh/1000),0,TER_rest_gas_kWh/1000)*0.902</f>
        <v>4481.2984914214003</v>
      </c>
      <c r="E12" s="33">
        <f>$C$32*'E Balans VL '!I8/100/3.6*1000000</f>
        <v>54.906657895228754</v>
      </c>
      <c r="F12" s="33">
        <f>$C$32*('E Balans VL '!L8+'E Balans VL '!N8)/100/3.6*1000000</f>
        <v>803.43428055845152</v>
      </c>
      <c r="G12" s="34"/>
      <c r="H12" s="33"/>
      <c r="I12" s="33"/>
      <c r="J12" s="33">
        <f>$C$32*('E Balans VL '!D8+'E Balans VL '!E8)/100/3.6*1000000</f>
        <v>0</v>
      </c>
      <c r="K12" s="33"/>
      <c r="L12" s="33"/>
      <c r="M12" s="33"/>
      <c r="N12" s="33">
        <f>$C$32*'E Balans VL '!Y8/100/3.6*1000000</f>
        <v>275.18631025167662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17463.798138423997</v>
      </c>
      <c r="C16" s="21">
        <f t="shared" ca="1" si="1"/>
        <v>0</v>
      </c>
      <c r="D16" s="21">
        <f t="shared" ca="1" si="1"/>
        <v>11228.41444932306</v>
      </c>
      <c r="E16" s="21">
        <f t="shared" si="1"/>
        <v>314.99689594052643</v>
      </c>
      <c r="F16" s="21">
        <f t="shared" ca="1" si="1"/>
        <v>4345.4490807903449</v>
      </c>
      <c r="G16" s="21">
        <f t="shared" si="1"/>
        <v>0</v>
      </c>
      <c r="H16" s="21">
        <f t="shared" si="1"/>
        <v>0</v>
      </c>
      <c r="I16" s="21">
        <f t="shared" si="1"/>
        <v>0</v>
      </c>
      <c r="J16" s="21">
        <f t="shared" si="1"/>
        <v>0</v>
      </c>
      <c r="K16" s="21">
        <f t="shared" si="1"/>
        <v>0</v>
      </c>
      <c r="L16" s="21">
        <f t="shared" ca="1" si="1"/>
        <v>0</v>
      </c>
      <c r="M16" s="21">
        <f t="shared" si="1"/>
        <v>0</v>
      </c>
      <c r="N16" s="21">
        <f t="shared" ca="1" si="1"/>
        <v>3793.7508654500652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0.19087699603937539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3333.4373281004086</v>
      </c>
      <c r="C20" s="23">
        <f t="shared" ref="C20:P20" ca="1" si="2">C16*C18</f>
        <v>0</v>
      </c>
      <c r="D20" s="23">
        <f t="shared" ca="1" si="2"/>
        <v>2268.1397187632583</v>
      </c>
      <c r="E20" s="23">
        <f t="shared" si="2"/>
        <v>71.504295378499506</v>
      </c>
      <c r="F20" s="23">
        <f t="shared" ca="1" si="2"/>
        <v>1160.2349045710221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2622.0595874999999</v>
      </c>
      <c r="C26" s="39">
        <f>IF(ISERROR(B26*3.6/1000000/'E Balans VL '!Z12*100),0,B26*3.6/1000000/'E Balans VL '!Z12*100)</f>
        <v>5.6166553363023758E-2</v>
      </c>
      <c r="D26" s="237" t="s">
        <v>659</v>
      </c>
      <c r="F26" s="6"/>
    </row>
    <row r="27" spans="1:18">
      <c r="A27" s="231" t="s">
        <v>52</v>
      </c>
      <c r="B27" s="33">
        <f>IF(ISERROR(TER_horeca_ele_kWh/1000),0,TER_horeca_ele_kWh/1000)</f>
        <v>1918.1403296999999</v>
      </c>
      <c r="C27" s="39">
        <f>IF(ISERROR(B27*3.6/1000000/'E Balans VL '!Z9*100),0,B27*3.6/1000000/'E Balans VL '!Z9*100)</f>
        <v>0.15392409407069407</v>
      </c>
      <c r="D27" s="237" t="s">
        <v>659</v>
      </c>
      <c r="F27" s="6"/>
    </row>
    <row r="28" spans="1:18">
      <c r="A28" s="171" t="s">
        <v>51</v>
      </c>
      <c r="B28" s="33">
        <f>IF(ISERROR(TER_handel_ele_kWh/1000),0,TER_handel_ele_kWh/1000)</f>
        <v>4926.0198909999999</v>
      </c>
      <c r="C28" s="39">
        <f>IF(ISERROR(B28*3.6/1000000/'E Balans VL '!Z13*100),0,B28*3.6/1000000/'E Balans VL '!Z13*100)</f>
        <v>0.1452893322613866</v>
      </c>
      <c r="D28" s="237" t="s">
        <v>659</v>
      </c>
      <c r="F28" s="6"/>
    </row>
    <row r="29" spans="1:18">
      <c r="A29" s="231" t="s">
        <v>50</v>
      </c>
      <c r="B29" s="33">
        <f>IF(ISERROR(TER_gezond_ele_kWh/1000),0,TER_gezond_ele_kWh/1000)</f>
        <v>388.95961144</v>
      </c>
      <c r="C29" s="39">
        <f>IF(ISERROR(B29*3.6/1000000/'E Balans VL '!Z10*100),0,B29*3.6/1000000/'E Balans VL '!Z10*100)</f>
        <v>4.1530458103547579E-2</v>
      </c>
      <c r="D29" s="237" t="s">
        <v>659</v>
      </c>
      <c r="F29" s="6"/>
    </row>
    <row r="30" spans="1:18">
      <c r="A30" s="231" t="s">
        <v>49</v>
      </c>
      <c r="B30" s="33">
        <f>IF(ISERROR(TER_ander_ele_kWh/1000),0,TER_ander_ele_kWh/1000)</f>
        <v>4447.5617813999997</v>
      </c>
      <c r="C30" s="39">
        <f>IF(ISERROR(B30*3.6/1000000/'E Balans VL '!Z14*100),0,B30*3.6/1000000/'E Balans VL '!Z14*100)</f>
        <v>0.33594180621978276</v>
      </c>
      <c r="D30" s="237" t="s">
        <v>659</v>
      </c>
      <c r="F30" s="6"/>
    </row>
    <row r="31" spans="1:18">
      <c r="A31" s="231" t="s">
        <v>54</v>
      </c>
      <c r="B31" s="33">
        <f>IF(ISERROR(TER_onderwijs_ele_kWh/1000),0,TER_onderwijs_ele_kWh/1000)</f>
        <v>42.514257383999997</v>
      </c>
      <c r="C31" s="39">
        <f>IF(ISERROR(B31*3.6/1000000/'E Balans VL '!Z11*100),0,B31*3.6/1000000/'E Balans VL '!Z11*100)</f>
        <v>8.5850478013830001E-3</v>
      </c>
      <c r="D31" s="237" t="s">
        <v>659</v>
      </c>
    </row>
    <row r="32" spans="1:18">
      <c r="A32" s="231" t="s">
        <v>259</v>
      </c>
      <c r="B32" s="33">
        <f>IF(ISERROR(TER_rest_ele_kWh/1000),0,TER_rest_ele_kWh/1000)</f>
        <v>3118.54268</v>
      </c>
      <c r="C32" s="39">
        <f>IF(ISERROR(B32*3.6/1000000/'E Balans VL '!Z8*100),0,B32*3.6/1000000/'E Balans VL '!Z8*100)</f>
        <v>2.5857061356554301E-2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19541.589252204998</v>
      </c>
      <c r="C5" s="17">
        <f>IF(ISERROR('Eigen informatie GS &amp; warmtenet'!B59),0,'Eigen informatie GS &amp; warmtenet'!B59)</f>
        <v>0</v>
      </c>
      <c r="D5" s="30">
        <f>SUM(D6:D15)</f>
        <v>12371.18001318496</v>
      </c>
      <c r="E5" s="17">
        <f>SUM(E6:E15)</f>
        <v>1203.4587541663279</v>
      </c>
      <c r="F5" s="17">
        <f>SUM(F6:F15)</f>
        <v>5774.755008934686</v>
      </c>
      <c r="G5" s="18"/>
      <c r="H5" s="17"/>
      <c r="I5" s="17"/>
      <c r="J5" s="17">
        <f>SUM(J6:J15)</f>
        <v>111.26017450917793</v>
      </c>
      <c r="K5" s="17"/>
      <c r="L5" s="17"/>
      <c r="M5" s="17"/>
      <c r="N5" s="17">
        <f>SUM(N6:N15)</f>
        <v>1438.4416864701782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3365.7896967000001</v>
      </c>
      <c r="C8" s="33"/>
      <c r="D8" s="37">
        <f>IF( ISERROR(IND_metaal_Gas_kWH/1000),0,IND_metaal_Gas_kWH/1000)*0.902</f>
        <v>623.55131230479992</v>
      </c>
      <c r="E8" s="33">
        <f>C30*'E Balans VL '!I18/100/3.6*1000000</f>
        <v>121.11129549132983</v>
      </c>
      <c r="F8" s="33">
        <f>C30*'E Balans VL '!L18/100/3.6*1000000+C30*'E Balans VL '!N18/100/3.6*1000000</f>
        <v>1469.7312533857485</v>
      </c>
      <c r="G8" s="34"/>
      <c r="H8" s="33"/>
      <c r="I8" s="33"/>
      <c r="J8" s="40">
        <f>C30*'E Balans VL '!D18/100/3.6*1000000+C30*'E Balans VL '!E18/100/3.6*1000000</f>
        <v>0</v>
      </c>
      <c r="K8" s="33"/>
      <c r="L8" s="33"/>
      <c r="M8" s="33"/>
      <c r="N8" s="33">
        <f>C30*'E Balans VL '!Y18/100/3.6*1000000</f>
        <v>168.69109230214403</v>
      </c>
      <c r="O8" s="33"/>
      <c r="P8" s="33"/>
      <c r="R8" s="32"/>
    </row>
    <row r="9" spans="1:18">
      <c r="A9" s="6" t="s">
        <v>32</v>
      </c>
      <c r="B9" s="37">
        <f t="shared" si="0"/>
        <v>1234.7048235</v>
      </c>
      <c r="C9" s="33"/>
      <c r="D9" s="37">
        <f>IF( ISERROR(IND_andere_gas_kWh/1000),0,IND_andere_gas_kWh/1000)*0.902</f>
        <v>775.75445115036007</v>
      </c>
      <c r="E9" s="33">
        <f>C31*'E Balans VL '!I19/100/3.6*1000000</f>
        <v>315.06873497811063</v>
      </c>
      <c r="F9" s="33">
        <f>C31*'E Balans VL '!L19/100/3.6*1000000+C31*'E Balans VL '!N19/100/3.6*1000000</f>
        <v>1062.9880490110554</v>
      </c>
      <c r="G9" s="34"/>
      <c r="H9" s="33"/>
      <c r="I9" s="33"/>
      <c r="J9" s="40">
        <f>C31*'E Balans VL '!D19/100/3.6*1000000+C31*'E Balans VL '!E19/100/3.6*1000000</f>
        <v>0</v>
      </c>
      <c r="K9" s="33"/>
      <c r="L9" s="33"/>
      <c r="M9" s="33"/>
      <c r="N9" s="33">
        <f>C31*'E Balans VL '!Y19/100/3.6*1000000</f>
        <v>97.403762408590964</v>
      </c>
      <c r="O9" s="33"/>
      <c r="P9" s="33"/>
      <c r="R9" s="32"/>
    </row>
    <row r="10" spans="1:18">
      <c r="A10" s="6" t="s">
        <v>40</v>
      </c>
      <c r="B10" s="37">
        <f t="shared" si="0"/>
        <v>1091.9306442</v>
      </c>
      <c r="C10" s="33"/>
      <c r="D10" s="37">
        <f>IF( ISERROR(IND_voed_gas_kWh/1000),0,IND_voed_gas_kWh/1000)*0.902</f>
        <v>1105.1262912998</v>
      </c>
      <c r="E10" s="33">
        <f>C32*'E Balans VL '!I20/100/3.6*1000000</f>
        <v>27.758376319207169</v>
      </c>
      <c r="F10" s="33">
        <f>C32*'E Balans VL '!L20/100/3.6*1000000+C32*'E Balans VL '!N20/100/3.6*1000000</f>
        <v>247.08751348990461</v>
      </c>
      <c r="G10" s="34"/>
      <c r="H10" s="33"/>
      <c r="I10" s="33"/>
      <c r="J10" s="40">
        <f>C32*'E Balans VL '!D20/100/3.6*1000000+C32*'E Balans VL '!E20/100/3.6*1000000</f>
        <v>0</v>
      </c>
      <c r="K10" s="33"/>
      <c r="L10" s="33"/>
      <c r="M10" s="33"/>
      <c r="N10" s="33">
        <f>C32*'E Balans VL '!Y20/100/3.6*1000000</f>
        <v>409.5035895193065</v>
      </c>
      <c r="O10" s="33"/>
      <c r="P10" s="33"/>
      <c r="R10" s="32"/>
    </row>
    <row r="11" spans="1:18">
      <c r="A11" s="6" t="s">
        <v>39</v>
      </c>
      <c r="B11" s="37">
        <f t="shared" si="0"/>
        <v>13.390725325</v>
      </c>
      <c r="C11" s="33"/>
      <c r="D11" s="37">
        <f>IF( ISERROR(IND_textiel_gas_kWh/1000),0,IND_textiel_gas_kWh/1000)*0.902</f>
        <v>0</v>
      </c>
      <c r="E11" s="33">
        <f>C33*'E Balans VL '!I21/100/3.6*1000000</f>
        <v>3.6761142089145452E-2</v>
      </c>
      <c r="F11" s="33">
        <f>C33*'E Balans VL '!L21/100/3.6*1000000+C33*'E Balans VL '!N21/100/3.6*1000000</f>
        <v>0.70992045038820317</v>
      </c>
      <c r="G11" s="34"/>
      <c r="H11" s="33"/>
      <c r="I11" s="33"/>
      <c r="J11" s="40">
        <f>C33*'E Balans VL '!D21/100/3.6*1000000+C33*'E Balans VL '!E21/100/3.6*1000000</f>
        <v>0</v>
      </c>
      <c r="K11" s="33"/>
      <c r="L11" s="33"/>
      <c r="M11" s="33"/>
      <c r="N11" s="33">
        <f>C33*'E Balans VL '!Y21/100/3.6*1000000</f>
        <v>2.6913141971123544E-2</v>
      </c>
      <c r="O11" s="33"/>
      <c r="P11" s="33"/>
      <c r="R11" s="32"/>
    </row>
    <row r="12" spans="1:18">
      <c r="A12" s="6" t="s">
        <v>36</v>
      </c>
      <c r="B12" s="37">
        <f t="shared" si="0"/>
        <v>313.31784814000002</v>
      </c>
      <c r="C12" s="33"/>
      <c r="D12" s="37">
        <f>IF( ISERROR(IND_min_gas_kWh/1000),0,IND_min_gas_kWh/1000)*0.902</f>
        <v>0</v>
      </c>
      <c r="E12" s="33">
        <f>C34*'E Balans VL '!I22/100/3.6*1000000</f>
        <v>6.6572190288236426</v>
      </c>
      <c r="F12" s="33">
        <f>C34*'E Balans VL '!L22/100/3.6*1000000+C34*'E Balans VL '!N22/100/3.6*1000000</f>
        <v>51.120477049640861</v>
      </c>
      <c r="G12" s="34"/>
      <c r="H12" s="33"/>
      <c r="I12" s="33"/>
      <c r="J12" s="40">
        <f>C34*'E Balans VL '!D22/100/3.6*1000000+C34*'E Balans VL '!E22/100/3.6*1000000</f>
        <v>0.36504453206509163</v>
      </c>
      <c r="K12" s="33"/>
      <c r="L12" s="33"/>
      <c r="M12" s="33"/>
      <c r="N12" s="33">
        <f>C34*'E Balans VL '!Y22/100/3.6*1000000</f>
        <v>0</v>
      </c>
      <c r="O12" s="33"/>
      <c r="P12" s="33"/>
      <c r="R12" s="32"/>
    </row>
    <row r="13" spans="1:18">
      <c r="A13" s="6" t="s">
        <v>38</v>
      </c>
      <c r="B13" s="37">
        <f t="shared" si="0"/>
        <v>21.534272340000001</v>
      </c>
      <c r="C13" s="33"/>
      <c r="D13" s="37">
        <f>IF( ISERROR(IND_papier_gas_kWh/1000),0,IND_papier_gas_kWh/1000)*0.902</f>
        <v>0</v>
      </c>
      <c r="E13" s="33">
        <f>C35*'E Balans VL '!I23/100/3.6*1000000</f>
        <v>9.2354229363480034E-2</v>
      </c>
      <c r="F13" s="33">
        <f>C35*'E Balans VL '!L23/100/3.6*1000000+C35*'E Balans VL '!N23/100/3.6*1000000</f>
        <v>0.5412231020306254</v>
      </c>
      <c r="G13" s="34"/>
      <c r="H13" s="33"/>
      <c r="I13" s="33"/>
      <c r="J13" s="40">
        <f>C35*'E Balans VL '!D23/100/3.6*1000000+C35*'E Balans VL '!E23/100/3.6*1000000</f>
        <v>1.4416014225378091</v>
      </c>
      <c r="K13" s="33"/>
      <c r="L13" s="33"/>
      <c r="M13" s="33"/>
      <c r="N13" s="33">
        <f>C35*'E Balans VL '!Y23/100/3.6*1000000</f>
        <v>5.2514262712604687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13500.921242</v>
      </c>
      <c r="C15" s="33"/>
      <c r="D15" s="37">
        <f>IF( ISERROR(IND_rest_gas_kWh/1000),0,IND_rest_gas_kWh/1000)*0.902</f>
        <v>9866.7479584299999</v>
      </c>
      <c r="E15" s="33">
        <f>C37*'E Balans VL '!I15/100/3.6*1000000</f>
        <v>732.73401297740406</v>
      </c>
      <c r="F15" s="33">
        <f>C37*'E Balans VL '!L15/100/3.6*1000000+C37*'E Balans VL '!N15/100/3.6*1000000</f>
        <v>2942.576572445917</v>
      </c>
      <c r="G15" s="34"/>
      <c r="H15" s="33"/>
      <c r="I15" s="33"/>
      <c r="J15" s="40">
        <f>C37*'E Balans VL '!D15/100/3.6*1000000+C37*'E Balans VL '!E15/100/3.6*1000000</f>
        <v>109.45352855457503</v>
      </c>
      <c r="K15" s="33"/>
      <c r="L15" s="33"/>
      <c r="M15" s="33"/>
      <c r="N15" s="33">
        <f>C37*'E Balans VL '!Y15/100/3.6*1000000</f>
        <v>757.56490282690515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19541.589252204998</v>
      </c>
      <c r="C18" s="21">
        <f>C5+C16</f>
        <v>0</v>
      </c>
      <c r="D18" s="21">
        <f>MAX((D5+D16),0)</f>
        <v>12371.18001318496</v>
      </c>
      <c r="E18" s="21">
        <f>MAX((E5+E16),0)</f>
        <v>1203.4587541663279</v>
      </c>
      <c r="F18" s="21">
        <f>MAX((F5+F16),0)</f>
        <v>5774.755008934686</v>
      </c>
      <c r="G18" s="21"/>
      <c r="H18" s="21"/>
      <c r="I18" s="21"/>
      <c r="J18" s="21">
        <f>MAX((J5+J16),0)</f>
        <v>111.26017450917793</v>
      </c>
      <c r="K18" s="21"/>
      <c r="L18" s="21">
        <f>MAX((L5+L16),0)</f>
        <v>0</v>
      </c>
      <c r="M18" s="21"/>
      <c r="N18" s="21">
        <f>MAX((N5+N16),0)</f>
        <v>1438.4416864701782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0.19087699603937539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3730.0398542962339</v>
      </c>
      <c r="C22" s="23">
        <f ca="1">C18*C20</f>
        <v>0</v>
      </c>
      <c r="D22" s="23">
        <f>D18*D20</f>
        <v>2498.9783626633621</v>
      </c>
      <c r="E22" s="23">
        <f>E18*E20</f>
        <v>273.18513719575645</v>
      </c>
      <c r="F22" s="23">
        <f>F18*F20</f>
        <v>1541.8595873855613</v>
      </c>
      <c r="G22" s="23"/>
      <c r="H22" s="23"/>
      <c r="I22" s="23"/>
      <c r="J22" s="23">
        <f>J18*J20</f>
        <v>39.386101776248985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3365.7896967000001</v>
      </c>
      <c r="C30" s="39">
        <f>IF(ISERROR(B30*3.6/1000000/'E Balans VL '!Z18*100),0,B30*3.6/1000000/'E Balans VL '!Z18*100)</f>
        <v>0.7131386761014652</v>
      </c>
      <c r="D30" s="237" t="s">
        <v>659</v>
      </c>
    </row>
    <row r="31" spans="1:18">
      <c r="A31" s="6" t="s">
        <v>32</v>
      </c>
      <c r="B31" s="37">
        <f>IF( ISERROR(IND_ander_ele_kWh/1000),0,IND_ander_ele_kWh/1000)</f>
        <v>1234.7048235</v>
      </c>
      <c r="C31" s="39">
        <f>IF(ISERROR(B31*3.6/1000000/'E Balans VL '!Z19*100),0,B31*3.6/1000000/'E Balans VL '!Z19*100)</f>
        <v>5.1971529622311226E-2</v>
      </c>
      <c r="D31" s="237" t="s">
        <v>659</v>
      </c>
    </row>
    <row r="32" spans="1:18">
      <c r="A32" s="171" t="s">
        <v>40</v>
      </c>
      <c r="B32" s="37">
        <f>IF( ISERROR(IND_voed_ele_kWh/1000),0,IND_voed_ele_kWh/1000)</f>
        <v>1091.9306442</v>
      </c>
      <c r="C32" s="39">
        <f>IF(ISERROR(B32*3.6/1000000/'E Balans VL '!Z20*100),0,B32*3.6/1000000/'E Balans VL '!Z20*100)</f>
        <v>0.18241936845915835</v>
      </c>
      <c r="D32" s="237" t="s">
        <v>659</v>
      </c>
    </row>
    <row r="33" spans="1:5">
      <c r="A33" s="171" t="s">
        <v>39</v>
      </c>
      <c r="B33" s="37">
        <f>IF( ISERROR(IND_textiel_ele_kWh/1000),0,IND_textiel_ele_kWh/1000)</f>
        <v>13.390725325</v>
      </c>
      <c r="C33" s="39">
        <f>IF(ISERROR(B33*3.6/1000000/'E Balans VL '!Z21*100),0,B33*3.6/1000000/'E Balans VL '!Z21*100)</f>
        <v>7.8179061644512854E-4</v>
      </c>
      <c r="D33" s="237" t="s">
        <v>659</v>
      </c>
    </row>
    <row r="34" spans="1:5">
      <c r="A34" s="171" t="s">
        <v>36</v>
      </c>
      <c r="B34" s="37">
        <f>IF( ISERROR(IND_min_ele_kWh/1000),0,IND_min_ele_kWh/1000)</f>
        <v>313.31784814000002</v>
      </c>
      <c r="C34" s="39">
        <f>IF(ISERROR(B34*3.6/1000000/'E Balans VL '!Z22*100),0,B34*3.6/1000000/'E Balans VL '!Z22*100)</f>
        <v>3.9714726969909499E-2</v>
      </c>
      <c r="D34" s="237" t="s">
        <v>659</v>
      </c>
    </row>
    <row r="35" spans="1:5">
      <c r="A35" s="171" t="s">
        <v>38</v>
      </c>
      <c r="B35" s="37">
        <f>IF( ISERROR(IND_papier_ele_kWh/1000),0,IND_papier_ele_kWh/1000)</f>
        <v>21.534272340000001</v>
      </c>
      <c r="C35" s="39">
        <f>IF(ISERROR(B35*3.6/1000000/'E Balans VL '!Z22*100),0,B35*3.6/1000000/'E Balans VL '!Z22*100)</f>
        <v>2.7295851530827323E-3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13500.921242</v>
      </c>
      <c r="C37" s="39">
        <f>IF(ISERROR(B37*3.6/1000000/'E Balans VL '!Z15*100),0,B37*3.6/1000000/'E Balans VL '!Z15*100)</f>
        <v>0.1089981649829804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1602.6691775099998</v>
      </c>
      <c r="C5" s="17">
        <f>'Eigen informatie GS &amp; warmtenet'!B60</f>
        <v>0</v>
      </c>
      <c r="D5" s="30">
        <f>IF(ISERROR(SUM(LB_lb_gas_kWh,LB_rest_gas_kWh)/1000),0,SUM(LB_lb_gas_kWh,LB_rest_gas_kWh)/1000)*0.902</f>
        <v>99.557373319139998</v>
      </c>
      <c r="E5" s="17">
        <f>B17*'E Balans VL '!I25/3.6*1000000/100</f>
        <v>41.326684549781085</v>
      </c>
      <c r="F5" s="17">
        <f>B17*('E Balans VL '!L25/3.6*1000000+'E Balans VL '!N25/3.6*1000000)/100</f>
        <v>5858.0610573175063</v>
      </c>
      <c r="G5" s="18"/>
      <c r="H5" s="17"/>
      <c r="I5" s="17"/>
      <c r="J5" s="17">
        <f>('E Balans VL '!D25+'E Balans VL '!E25)/3.6*1000000*landbouw!B17/100</f>
        <v>230.72540472000372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1602.6691775099998</v>
      </c>
      <c r="C8" s="21">
        <f>C5+C6</f>
        <v>0</v>
      </c>
      <c r="D8" s="21">
        <f>MAX((D5+D6),0)</f>
        <v>99.557373319139998</v>
      </c>
      <c r="E8" s="21">
        <f>MAX((E5+E6),0)</f>
        <v>41.326684549781085</v>
      </c>
      <c r="F8" s="21">
        <f>MAX((F5+F6),0)</f>
        <v>5858.0610573175063</v>
      </c>
      <c r="G8" s="21"/>
      <c r="H8" s="21"/>
      <c r="I8" s="21"/>
      <c r="J8" s="21">
        <f>MAX((J5+J6),0)</f>
        <v>230.72540472000372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0.19087699603937539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305.91267824800525</v>
      </c>
      <c r="C12" s="23">
        <f ca="1">C8*C10</f>
        <v>0</v>
      </c>
      <c r="D12" s="23">
        <f>D8*D10</f>
        <v>20.110589410466282</v>
      </c>
      <c r="E12" s="23">
        <f>E8*E10</f>
        <v>9.381157392800306</v>
      </c>
      <c r="F12" s="23">
        <f>F8*F10</f>
        <v>1564.1023023037742</v>
      </c>
      <c r="G12" s="23"/>
      <c r="H12" s="23"/>
      <c r="I12" s="23"/>
      <c r="J12" s="23">
        <f>J8*J10</f>
        <v>81.676793270881319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0.22598696987150413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182.8333588756785</v>
      </c>
      <c r="C26" s="247">
        <f>B26*'GWP N2O_CH4'!B5</f>
        <v>3839.5005363892483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129.85532692879542</v>
      </c>
      <c r="C27" s="247">
        <f>B27*'GWP N2O_CH4'!B5</f>
        <v>2726.9618655047038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3.543505478895848</v>
      </c>
      <c r="C28" s="247">
        <f>B28*'GWP N2O_CH4'!B4</f>
        <v>1098.4866984577129</v>
      </c>
      <c r="D28" s="50"/>
    </row>
    <row r="29" spans="1:4">
      <c r="A29" s="41" t="s">
        <v>276</v>
      </c>
      <c r="B29" s="247">
        <f>B34*'ha_N2O bodem landbouw'!B4</f>
        <v>19.163859481037111</v>
      </c>
      <c r="C29" s="247">
        <f>B29*'GWP N2O_CH4'!B4</f>
        <v>5940.7964391215046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4.3129097776510835E-3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7.2348406666485106E-5</v>
      </c>
      <c r="C5" s="437" t="s">
        <v>210</v>
      </c>
      <c r="D5" s="422">
        <f>SUM(D6:D11)</f>
        <v>1.4559549021293875E-4</v>
      </c>
      <c r="E5" s="422">
        <f>SUM(E6:E11)</f>
        <v>6.492599683459669E-4</v>
      </c>
      <c r="F5" s="435" t="s">
        <v>210</v>
      </c>
      <c r="G5" s="422">
        <f>SUM(G6:G11)</f>
        <v>0.2067523458100079</v>
      </c>
      <c r="H5" s="422">
        <f>SUM(H6:H11)</f>
        <v>4.9634187289159325E-2</v>
      </c>
      <c r="I5" s="437" t="s">
        <v>210</v>
      </c>
      <c r="J5" s="437" t="s">
        <v>210</v>
      </c>
      <c r="K5" s="437" t="s">
        <v>210</v>
      </c>
      <c r="L5" s="437" t="s">
        <v>210</v>
      </c>
      <c r="M5" s="422">
        <f>SUM(M6:M11)</f>
        <v>7.9919738977399738E-3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6.0317927540221304E-5</v>
      </c>
      <c r="C6" s="423"/>
      <c r="D6" s="865">
        <f>vkm_GW_PW*SUMIFS(TableVerdeelsleutelVkm[CNG],TableVerdeelsleutelVkm[Voertuigtype],"Lichte voertuigen")*SUMIFS(TableECFTransport[EnergieConsumptieFactor (PJ per km)],TableECFTransport[Index],CONCATENATE($A6,"_CNG_CNG"))</f>
        <v>1.0873372085057331E-4</v>
      </c>
      <c r="E6" s="865">
        <f>vkm_GW_PW*SUMIFS(TableVerdeelsleutelVkm[LPG],TableVerdeelsleutelVkm[Voertuigtype],"Lichte voertuigen")*SUMIFS(TableECFTransport[EnergieConsumptieFactor (PJ per km)],TableECFTransport[Index],CONCATENATE($A6,"_LPG_LPG"))</f>
        <v>4.9119656827562724E-4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0.13419423200286959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3.7334246533128966E-2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5.3406746419592498E-3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2.87345622191113E-2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5.1850986532335948E-7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9.0399093817715144E-4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1.20304791262638E-5</v>
      </c>
      <c r="C8" s="423"/>
      <c r="D8" s="425">
        <f>vkm_NGW_PW*SUMIFS(TableVerdeelsleutelVkm[CNG],TableVerdeelsleutelVkm[Voertuigtype],"Lichte voertuigen")*SUMIFS(TableECFTransport[EnergieConsumptieFactor (PJ per km)],TableECFTransport[Index],CONCATENATE($A8,"_CNG_CNG"))</f>
        <v>3.6861769362365427E-5</v>
      </c>
      <c r="E8" s="425">
        <f>vkm_NGW_PW*SUMIFS(TableVerdeelsleutelVkm[LPG],TableVerdeelsleutelVkm[Voertuigtype],"Lichte voertuigen")*SUMIFS(TableECFTransport[EnergieConsumptieFactor (PJ per km)],TableECFTransport[Index],CONCATENATE($A8,"_LPG_LPG"))</f>
        <v>1.5806340007033966E-4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4.0546846257080618E-2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1.2299349255611323E-2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1.6442225687059802E-3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3.2767053309463736E-3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7.2990553710196761E-8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1.030857488975924E-4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20.096779629579199</v>
      </c>
      <c r="C14" s="21"/>
      <c r="D14" s="21">
        <f t="shared" ref="D14:M14" si="0">((D5)*10^9/3600)+D12</f>
        <v>40.44319172581632</v>
      </c>
      <c r="E14" s="21">
        <f t="shared" si="0"/>
        <v>180.34999120721304</v>
      </c>
      <c r="F14" s="21"/>
      <c r="G14" s="21">
        <f t="shared" si="0"/>
        <v>57431.207169446636</v>
      </c>
      <c r="H14" s="21">
        <f t="shared" si="0"/>
        <v>13787.274246988702</v>
      </c>
      <c r="I14" s="21"/>
      <c r="J14" s="21"/>
      <c r="K14" s="21"/>
      <c r="L14" s="21"/>
      <c r="M14" s="21">
        <f t="shared" si="0"/>
        <v>2219.9927493722148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0.19087699603937539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3.8360129257593889</v>
      </c>
      <c r="C18" s="23"/>
      <c r="D18" s="23">
        <f t="shared" ref="D18:M18" si="1">D14*D16</f>
        <v>8.1695247286148973</v>
      </c>
      <c r="E18" s="23">
        <f t="shared" si="1"/>
        <v>40.939448004037359</v>
      </c>
      <c r="F18" s="23"/>
      <c r="G18" s="23">
        <f t="shared" si="1"/>
        <v>15334.132314242253</v>
      </c>
      <c r="H18" s="23">
        <f t="shared" si="1"/>
        <v>3433.0312875001869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2.649120416883415E-3</v>
      </c>
      <c r="H50" s="319">
        <f t="shared" si="2"/>
        <v>0</v>
      </c>
      <c r="I50" s="319">
        <f t="shared" si="2"/>
        <v>0</v>
      </c>
      <c r="J50" s="319">
        <f t="shared" si="2"/>
        <v>0</v>
      </c>
      <c r="K50" s="319">
        <f t="shared" si="2"/>
        <v>0</v>
      </c>
      <c r="L50" s="319">
        <f t="shared" si="2"/>
        <v>0</v>
      </c>
      <c r="M50" s="319">
        <f t="shared" si="2"/>
        <v>8.2066060356662739E-5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2.649120416883415E-3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8.2066060356662739E-5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735.86678246761528</v>
      </c>
      <c r="H54" s="21">
        <f t="shared" si="3"/>
        <v>0</v>
      </c>
      <c r="I54" s="21">
        <f t="shared" si="3"/>
        <v>0</v>
      </c>
      <c r="J54" s="21">
        <f t="shared" si="3"/>
        <v>0</v>
      </c>
      <c r="K54" s="21">
        <f t="shared" si="3"/>
        <v>0</v>
      </c>
      <c r="L54" s="21">
        <f t="shared" si="3"/>
        <v>0</v>
      </c>
      <c r="M54" s="21">
        <f t="shared" si="3"/>
        <v>22.796127876850761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0.19087699603937539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196.47643091885328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11247.317081912443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11247.317081912443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2020-06-20T15:51:22Z</dcterms:modified>
</cp:coreProperties>
</file>