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9" i="18"/>
  <c r="C17" i="18" s="1"/>
  <c r="F49" i="18"/>
  <c r="B48" i="18"/>
  <c r="C8" i="18" s="1"/>
  <c r="D76" i="14" s="1"/>
  <c r="D8" i="59" s="1"/>
  <c r="D10" i="59" s="1"/>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J8" i="48"/>
  <c r="K13" i="14"/>
  <c r="K16" i="14" s="1"/>
  <c r="K27" i="14" s="1"/>
  <c r="E23" i="48"/>
  <c r="E22" i="16"/>
  <c r="F43" i="14" s="1"/>
  <c r="F46" i="14" s="1"/>
  <c r="F61" i="14" s="1"/>
  <c r="F63" i="14" s="1"/>
  <c r="G33" i="48"/>
  <c r="N8" i="48"/>
  <c r="N26" i="48" s="1"/>
  <c r="O13" i="14"/>
  <c r="N22" i="16"/>
  <c r="O43" i="14" s="1"/>
  <c r="G13" i="14"/>
  <c r="F8" i="48"/>
  <c r="K63" i="14" l="1"/>
  <c r="E15" i="48"/>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<sst xmlns="http://schemas.openxmlformats.org/spreadsheetml/2006/main" count="2407" uniqueCount="896">
  <si>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</si>
  <si>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</si>
  <si>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</si>
  <si>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</si>
  <si>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</si>
  <si>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</si>
  <si>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</si>
  <si>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</si>
  <si>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</si>
  <si>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</si>
  <si>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</si>
  <si>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</si>
  <si>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</si>
  <si>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</si>
  <si>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</si>
  <si>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</si>
  <si>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</si>
  <si>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</si>
  <si>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</si>
  <si>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</si>
  <si>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</si>
  <si>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</si>
  <si>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</si>
  <si>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</si>
  <si>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</si>
  <si>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</si>
  <si>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</si>
  <si>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</si>
  <si>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</si>
  <si>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</si>
  <si>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</si>
  <si>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</si>
  <si>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</si>
  <si>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</si>
  <si>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</si>
  <si>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</si>
  <si>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</si>
  <si>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</si>
  <si>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</si>
  <si>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</si>
  <si>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</si>
  <si>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</si>
  <si>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</si>
  <si>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</si>
  <si>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</si>
  <si>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</si>
  <si>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</si>
  <si>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</si>
  <si>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</si>
  <si>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</si>
  <si>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</si>
  <si>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</si>
  <si>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</si>
  <si>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</si>
  <si>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</si>
  <si>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</si>
  <si>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</si>
  <si>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</si>
  <si>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</si>
  <si>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</si>
  <si>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</si>
  <si>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</si>
  <si>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</si>
  <si>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</si>
  <si>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</si>
  <si>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</si>
  <si>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</si>
  <si>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</si>
  <si>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</si>
  <si>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</si>
  <si>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</si>
  <si>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</si>
  <si>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</si>
  <si>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</si>
  <si>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</si>
  <si>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</si>
  <si>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</si>
  <si>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</si>
  <si>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</si>
  <si>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</si>
  <si>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</si>
  <si>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</si>
  <si>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</si>
  <si>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</si>
  <si>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</si>
  <si>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</si>
  <si>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</si>
  <si>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</si>
  <si>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</si>
  <si>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</si>
  <si>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</si>
  <si>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</si>
  <si>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</si>
  <si>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</si>
  <si>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</si>
  <si>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</si>
  <si>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</si>
  <si>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</si>
  <si>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</si>
  <si>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</si>
  <si>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</si>
  <si>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</si>
  <si>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</si>
  <si>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</si>
  <si>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</si>
  <si>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</si>
  <si>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</si>
  <si>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</si>
  <si>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</si>
  <si>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</si>
  <si>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</si>
  <si>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</si>
  <si>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</si>
  <si>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</si>
  <si>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</si>
  <si>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</si>
  <si>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</si>
  <si>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</si>
  <si>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</si>
  <si>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</si>
  <si>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</si>
  <si>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</si>
  <si>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</si>
  <si>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</si>
  <si>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</si>
  <si>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</si>
  <si>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</si>
  <si>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</si>
  <si>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</si>
  <si>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</si>
  <si>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</si>
  <si>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</si>
  <si>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</si>
  <si>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</si>
  <si>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</si>
  <si>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</si>
  <si>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</si>
  <si>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</si>
  <si>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</si>
  <si>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</si>
  <si>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</si>
  <si>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</si>
  <si>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</si>
  <si>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</si>
  <si>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</si>
  <si>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</si>
  <si>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</si>
  <si>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</si>
  <si>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</si>
  <si>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</si>
  <si>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</si>
  <si>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</si>
  <si>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</si>
  <si>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</si>
  <si>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</si>
  <si>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</si>
  <si>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</si>
  <si>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</si>
  <si>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</si>
  <si>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</si>
  <si>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</si>
  <si>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</si>
  <si>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</si>
  <si>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</si>
  <si>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</si>
  <si>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</si>
  <si>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</si>
  <si>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</si>
  <si>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</si>
  <si>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</si>
  <si>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</si>
  <si>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</si>
  <si>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</si>
  <si>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</si>
  <si>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</si>
  <si>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</si>
  <si>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</si>
  <si>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</si>
  <si>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</si>
  <si>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</si>
  <si>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</si>
  <si>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</si>
  <si>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</si>
  <si>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</si>
  <si>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</si>
  <si>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</si>
  <si>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</si>
  <si>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</si>
  <si>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</si>
  <si>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</si>
  <si>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</si>
  <si>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</si>
  <si>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</si>
  <si>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</si>
  <si>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</si>
  <si>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</si>
  <si>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</si>
  <si>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</si>
  <si>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</si>
  <si>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</si>
  <si>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</si>
  <si>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</si>
  <si>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</si>
  <si>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</si>
  <si>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</si>
  <si>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</si>
  <si>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</si>
  <si>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</si>
  <si>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</si>
  <si>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</si>
  <si>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</si>
  <si>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</si>
  <si>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</si>
  <si>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</si>
  <si>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</si>
  <si>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</si>
  <si>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</si>
  <si>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</si>
  <si>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</si>
  <si>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</si>
  <si>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</si>
  <si>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</si>
  <si>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</si>
  <si>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</si>
  <si>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</si>
  <si>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</si>
  <si>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</si>
  <si>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</si>
  <si>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</si>
  <si>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</si>
  <si>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</si>
  <si>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</si>
  <si>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</si>
  <si>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</si>
  <si>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</si>
  <si>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</si>
  <si>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</si>
  <si>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</si>
  <si>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</si>
  <si>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</si>
  <si>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</si>
  <si>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</si>
  <si>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</si>
  <si>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</si>
  <si>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</si>
  <si>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</si>
  <si>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</si>
  <si>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</si>
  <si>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</si>
  <si>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</si>
  <si>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</si>
  <si>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</si>
  <si>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</si>
  <si>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</si>
  <si>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</si>
  <si>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</si>
  <si>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</si>
  <si>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</si>
  <si>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</si>
  <si>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</si>
  <si>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</si>
  <si>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</si>
  <si>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</si>
  <si>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</si>
  <si>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</si>
  <si>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</si>
  <si>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</si>
  <si>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</si>
  <si>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</si>
  <si>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</si>
  <si>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</si>
  <si>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</si>
  <si>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</si>
  <si>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</si>
  <si>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</si>
  <si>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</si>
  <si>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</si>
  <si>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</si>
  <si>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</si>
  <si>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</si>
  <si>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</si>
  <si>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</si>
  <si>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</si>
  <si>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</si>
  <si>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</si>
  <si>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</si>
  <si>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</si>
  <si>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</si>
  <si>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</si>
  <si>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</si>
  <si>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</si>
  <si>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</si>
  <si>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</si>
  <si>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</si>
  <si>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</si>
  <si>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</si>
  <si>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</si>
  <si>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</si>
  <si>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</si>
  <si>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</si>
  <si>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</si>
  <si>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</si>
  <si>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</si>
  <si>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</si>
  <si>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</si>
  <si>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</si>
  <si>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</si>
  <si>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</si>
  <si>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</si>
  <si>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</si>
  <si>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</si>
  <si>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</si>
  <si>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</si>
  <si>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</si>
  <si>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</si>
  <si>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</si>
  <si>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</si>
  <si>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</si>
  <si>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</si>
  <si>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</si>
  <si>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</si>
  <si>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</si>
  <si>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</si>
  <si>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</si>
  <si>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</si>
  <si>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</si>
  <si>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</si>
  <si>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</si>
  <si>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</si>
  <si>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</si>
  <si>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</si>
  <si>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</si>
  <si>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</si>
  <si>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</si>
  <si>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</si>
  <si>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</si>
  <si>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</si>
  <si>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</si>
  <si>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</si>
  <si>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</si>
  <si>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</si>
  <si>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</si>
  <si>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</si>
  <si>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</si>
  <si>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</si>
  <si>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</si>
  <si>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</si>
  <si>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</si>
  <si>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</si>
  <si>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</si>
  <si>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</si>
  <si>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</si>
  <si>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</si>
  <si>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</si>
  <si>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</si>
  <si>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</si>
  <si>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</si>
  <si>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</si>
  <si>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</si>
  <si>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</si>
  <si>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</si>
  <si>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</si>
  <si>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</si>
  <si>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</si>
  <si>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</si>
  <si>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</si>
  <si>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</si>
  <si>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</si>
  <si>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</si>
  <si>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</si>
  <si>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</si>
  <si>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</si>
  <si>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</si>
  <si>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</si>
  <si>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</si>
  <si>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</si>
  <si>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</si>
  <si>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</si>
  <si>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</si>
  <si>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</si>
  <si>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</si>
  <si>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</si>
  <si>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</si>
  <si>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</si>
  <si>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</si>
  <si>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</si>
  <si>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</si>
  <si>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</si>
  <si>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</si>
  <si>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</si>
  <si>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</si>
  <si>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</si>
  <si>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</si>
  <si>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</si>
  <si>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</si>
  <si>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</si>
  <si>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</si>
  <si>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</si>
  <si>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</si>
  <si>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</si>
  <si>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</si>
  <si>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</si>
  <si>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</si>
  <si>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</si>
  <si>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</si>
  <si>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</si>
  <si>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</si>
  <si>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</si>
  <si>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</si>
  <si>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</si>
  <si>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</si>
  <si>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</si>
  <si>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</si>
  <si>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</si>
  <si>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</si>
  <si>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</si>
  <si>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</si>
  <si>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</si>
  <si>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</si>
  <si>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</si>
  <si>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</si>
  <si>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</si>
  <si>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</si>
  <si>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</si>
  <si>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</si>
  <si>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</si>
  <si>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</si>
  <si>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</si>
  <si>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</si>
  <si>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</si>
  <si>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</si>
  <si>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</si>
  <si>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</si>
  <si>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</si>
  <si>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</si>
  <si>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</si>
  <si>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</si>
  <si>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</si>
  <si>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</si>
  <si>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</si>
  <si>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</si>
  <si>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</si>
  <si>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</si>
  <si>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</si>
  <si>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</si>
  <si>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</si>
  <si>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</si>
  <si>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</si>
  <si>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</si>
  <si>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</si>
  <si>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</si>
  <si>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</si>
  <si>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</si>
  <si>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</si>
  <si>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</si>
  <si>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</si>
  <si>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</si>
  <si>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</si>
  <si>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</si>
  <si>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</si>
  <si>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</si>
  <si>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</si>
  <si>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</si>
  <si>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</si>
  <si>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</si>
  <si>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</si>
  <si>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</si>
  <si>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</si>
  <si>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</si>
  <si>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</si>
  <si>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</si>
  <si>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</si>
  <si>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</si>
  <si>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</si>
  <si>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</si>
  <si>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</si>
  <si>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</si>
  <si>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</si>
  <si>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</si>
  <si>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</si>
  <si>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</si>
  <si>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</si>
  <si>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</si>
  <si>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</si>
  <si>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</si>
  <si>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</si>
  <si>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</si>
  <si>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</si>
  <si>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</si>
  <si>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</si>
  <si>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</si>
  <si>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</si>
  <si>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</si>
  <si>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</si>
  <si>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</si>
  <si>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</si>
  <si>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</si>
  <si>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</si>
  <si>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</si>
  <si>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</si>
  <si>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</si>
  <si>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</si>
  <si>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</si>
  <si>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</si>
  <si>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</si>
  <si>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</si>
  <si>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</si>
  <si>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</si>
  <si>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</si>
  <si>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</si>
  <si>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</si>
  <si>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</si>
  <si>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</si>
  <si>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</si>
  <si>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</si>
  <si>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</si>
  <si>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</si>
  <si>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</si>
  <si>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</si>
  <si>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</si>
  <si>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</si>
  <si>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</si>
  <si>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</si>
  <si>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</si>
  <si>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</si>
  <si>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</si>
  <si>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</si>
  <si>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</si>
  <si>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</si>
  <si>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</si>
  <si>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</si>
  <si>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</si>
  <si>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</si>
  <si>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</si>
  <si>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</si>
  <si>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</si>
  <si>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</si>
  <si>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</si>
  <si>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</si>
  <si>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</si>
  <si>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</si>
  <si>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</si>
  <si>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</si>
  <si>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</si>
  <si>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</si>
  <si>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</si>
  <si>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</si>
  <si>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</si>
  <si>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</si>
  <si>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</si>
  <si>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</si>
  <si>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</si>
  <si>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</si>
  <si>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</si>
  <si>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</si>
  <si>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</si>
  <si>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</si>
  <si>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</si>
  <si>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</si>
  <si>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</si>
  <si>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</si>
  <si>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</si>
  <si>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</si>
  <si>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</si>
  <si>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</si>
  <si>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</si>
  <si>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</si>
  <si>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</si>
  <si>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</si>
  <si>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</si>
  <si>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</si>
  <si>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</si>
  <si>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</si>
  <si>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</si>
  <si>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</si>
  <si>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</si>
  <si>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</si>
  <si>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</si>
  <si>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</si>
  <si>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</si>
  <si>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</si>
  <si>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</si>
  <si>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</si>
  <si>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</si>
  <si>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</si>
  <si>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</si>
  <si>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</si>
  <si>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</si>
  <si>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</si>
  <si>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</si>
  <si>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</si>
  <si>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</si>
  <si>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</si>
  <si>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</si>
  <si>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</si>
  <si>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</si>
  <si>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</si>
  <si>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</si>
  <si>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</si>
  <si>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</si>
  <si>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</si>
  <si>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</si>
  <si>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</si>
  <si>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</si>
  <si>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</si>
  <si>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</si>
  <si>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</si>
  <si>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</si>
  <si>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</si>
  <si>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</si>
  <si>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</si>
  <si>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</si>
  <si>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</si>
  <si>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</si>
  <si>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</si>
  <si>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</si>
  <si>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</si>
  <si>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</si>
  <si>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</si>
  <si>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</si>
  <si>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</si>
  <si>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</si>
  <si>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</si>
  <si>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</si>
  <si>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</si>
  <si>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</si>
  <si>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</si>
  <si>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</si>
  <si>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</si>
  <si>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</si>
  <si>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</si>
  <si>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</si>
  <si>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</si>
  <si>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</si>
  <si>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</si>
  <si>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</si>
  <si>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</si>
  <si>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</si>
  <si>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</si>
  <si>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</si>
  <si>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</si>
  <si>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</si>
  <si>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</si>
  <si>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</si>
  <si>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</si>
  <si>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</si>
  <si>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</si>
  <si>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</si>
  <si>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</si>
  <si>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</si>
  <si>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</si>
  <si>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</si>
  <si>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</si>
  <si>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</si>
  <si>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</si>
  <si>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</si>
  <si>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</si>
  <si>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</si>
  <si>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</si>
  <si>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</si>
  <si>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</si>
  <si>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</si>
  <si>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</si>
  <si>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</si>
  <si>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</si>
  <si>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</si>
  <si>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</si>
  <si>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</si>
  <si>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</si>
  <si>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</si>
  <si>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</si>
  <si>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</si>
  <si>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</si>
  <si>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</si>
  <si>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</si>
  <si>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</si>
  <si>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</si>
  <si>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</si>
  <si>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</si>
  <si>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</si>
  <si>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</si>
  <si>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</si>
  <si>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</si>
  <si>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</si>
  <si>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</si>
  <si>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</si>
  <si>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</si>
  <si>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</si>
  <si>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</si>
  <si>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</si>
  <si>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</si>
  <si>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</si>
  <si>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</si>
  <si>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</si>
  <si>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</si>
  <si>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</si>
  <si>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</si>
  <si>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</si>
  <si>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</si>
  <si>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</si>
  <si>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</si>
  <si>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</si>
  <si>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</si>
  <si>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</si>
  <si>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</si>
  <si>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</si>
  <si>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</si>
  <si>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</si>
  <si>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</si>
  <si>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</si>
  <si>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</si>
  <si>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</si>
  <si>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</si>
  <si>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</si>
  <si>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</si>
  <si>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</si>
  <si>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</si>
  <si>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</si>
  <si>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</si>
  <si>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</si>
  <si>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</si>
  <si>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</si>
  <si>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</si>
  <si>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</si>
  <si>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</si>
  <si>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</si>
  <si>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</si>
  <si>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</si>
  <si>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</si>
  <si>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</si>
  <si>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</si>
  <si>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</si>
  <si>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</si>
  <si>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</si>
  <si>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</si>
  <si>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</si>
  <si>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</si>
  <si>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</si>
  <si>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</si>
  <si>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</si>
  <si>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</si>
  <si>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</si>
  <si>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</si>
  <si>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</si>
  <si>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</si>
  <si>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</si>
  <si>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</si>
  <si>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</si>
  <si>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</si>
  <si>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</si>
  <si>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</si>
  <si>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</si>
  <si>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</si>
  <si>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</si>
  <si>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</si>
  <si>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</si>
  <si>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</si>
  <si>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</si>
  <si>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</si>
  <si>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</si>
  <si>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</si>
  <si>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</si>
  <si>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</si>
  <si>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</si>
  <si>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</si>
  <si>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</si>
  <si>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</si>
  <si>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</si>
  <si>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</si>
  <si>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</si>
  <si>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</si>
  <si>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</si>
  <si>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</si>
  <si>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</si>
  <si>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</si>
  <si>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</si>
  <si>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</si>
  <si>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</si>
  <si>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</si>
  <si>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</si>
  <si>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</si>
  <si>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</si>
  <si>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</si>
  <si>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</si>
  <si>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</si>
  <si>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</si>
  <si>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</si>
  <si>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</si>
  <si>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</si>
  <si>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</si>
  <si>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</si>
  <si>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</si>
  <si>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</si>
  <si>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</si>
  <si>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</si>
  <si>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</si>
  <si>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</si>
  <si>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</si>
  <si>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</si>
  <si>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</si>
  <si>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</si>
  <si>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</si>
  <si>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</si>
  <si>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</si>
  <si>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</si>
  <si>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</si>
  <si>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</si>
  <si>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</si>
  <si>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</si>
  <si>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</si>
  <si>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</si>
  <si>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</si>
  <si>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</si>
  <si>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</si>
  <si>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</si>
  <si>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</si>
  <si>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</si>
  <si>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</si>
  <si>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</si>
  <si>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</si>
  <si>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</si>
  <si>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</si>
  <si>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</si>
  <si>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</si>
  <si>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</si>
  <si>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</si>
  <si>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</si>
  <si>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</si>
  <si>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</si>
  <si>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</si>
  <si>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</si>
  <si>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</si>
  <si>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</si>
  <si>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</si>
  <si>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</si>
  <si>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</si>
  <si>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</si>
  <si>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</si>
  <si>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</si>
  <si>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</si>
  <si>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</si>
  <si>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</si>
  <si>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</si>
  <si>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</si>
  <si>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</si>
  <si>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</si>
  <si>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</si>
  <si>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</si>
  <si>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</si>
  <si>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</si>
  <si>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</si>
  <si>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</si>
  <si>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</si>
  <si>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</si>
  <si>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</si>
  <si>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</si>
  <si>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</si>
  <si>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</si>
  <si>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</si>
  <si>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</si>
  <si>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</si>
  <si>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</si>
  <si>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</si>
  <si>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</si>
  <si>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</si>
  <si>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</si>
  <si>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</si>
  <si>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</si>
  <si>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</si>
  <si>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</si>
  <si>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</si>
  <si>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</si>
  <si>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</si>
  <si>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</si>
  <si>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</si>
  <si>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</si>
  <si>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</si>
  <si>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</si>
  <si>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</si>
  <si>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</si>
  <si>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</si>
  <si>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</si>
  <si>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</si>
  <si>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</si>
  <si>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</si>
  <si>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</si>
  <si>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</si>
  <si>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</si>
  <si>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</si>
  <si>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</si>
  <si>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12014</t>
  </si>
  <si>
    <t>HEIST-OP-DEN-BERG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</si>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</sst>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383327.23684944876</c:v>
                </c:pt>
                <c:pt idx="1">
                  <c:v>119465.4292195583</c:v>
                </c:pt>
                <c:pt idx="2">
                  <c:v>2779.511</c:v>
                </c:pt>
                <c:pt idx="3">
                  <c:v>10460.662148390076</c:v>
                </c:pt>
                <c:pt idx="4">
                  <c:v>118325.3009543222</c:v>
                </c:pt>
                <c:pt idx="5">
                  <c:v>197103.12579882317</c:v>
                </c:pt>
                <c:pt idx="6">
                  <c:v>2676.7504876102912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383327.23684944876</c:v>
                </c:pt>
                <c:pt idx="1">
                  <c:v>119465.4292195583</c:v>
                </c:pt>
                <c:pt idx="2">
                  <c:v>2779.511</c:v>
                </c:pt>
                <c:pt idx="3">
                  <c:v>10460.662148390076</c:v>
                </c:pt>
                <c:pt idx="4">
                  <c:v>118325.3009543222</c:v>
                </c:pt>
                <c:pt idx="5">
                  <c:v>197103.12579882317</c:v>
                </c:pt>
                <c:pt idx="6">
                  <c:v>2676.7504876102912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76414.408256426468</c:v>
                </c:pt>
                <c:pt idx="2">
                  <c:v>24132.738343159694</c:v>
                </c:pt>
                <c:pt idx="3">
                  <c:v>571.9495755075958</c:v>
                </c:pt>
                <c:pt idx="4">
                  <c:v>2618.5742610315483</c:v>
                </c:pt>
                <c:pt idx="5">
                  <c:v>24898.793461690122</c:v>
                </c:pt>
                <c:pt idx="6">
                  <c:v>50359.825667342055</c:v>
                </c:pt>
                <c:pt idx="7">
                  <c:v>693.2174686478088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76414.408256426468</c:v>
                </c:pt>
                <c:pt idx="2">
                  <c:v>24132.738343159694</c:v>
                </c:pt>
                <c:pt idx="3">
                  <c:v>571.9495755075958</c:v>
                </c:pt>
                <c:pt idx="4">
                  <c:v>2618.5742610315483</c:v>
                </c:pt>
                <c:pt idx="5">
                  <c:v>24898.793461690122</c:v>
                </c:pt>
                <c:pt idx="6">
                  <c:v>50359.825667342055</c:v>
                </c:pt>
                <c:pt idx="7">
                  <c:v>693.2174686478088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12014</v>
      </c>
      <c r="B6" s="390"/>
      <c r="C6" s="391"/>
    </row>
    <row r="7" spans="1:7" s="388" customFormat="1" ht="15.75" customHeight="1">
      <c r="A7" s="392" t="str">
        <f>txtMunicipality</f>
        <v>HEIST-OP-DEN-BERG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0.20577345277913842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0.20577345277913842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17626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3484.04</v>
      </c>
      <c r="C14" s="330"/>
      <c r="D14" s="330"/>
      <c r="E14" s="330"/>
      <c r="F14" s="330"/>
    </row>
    <row r="15" spans="1:6">
      <c r="A15" s="1291" t="s">
        <v>183</v>
      </c>
      <c r="B15" s="1292">
        <v>969</v>
      </c>
      <c r="C15" s="330"/>
      <c r="D15" s="330"/>
      <c r="E15" s="330"/>
      <c r="F15" s="330"/>
    </row>
    <row r="16" spans="1:6">
      <c r="A16" s="1291" t="s">
        <v>6</v>
      </c>
      <c r="B16" s="1292">
        <v>1342</v>
      </c>
      <c r="C16" s="330"/>
      <c r="D16" s="330"/>
      <c r="E16" s="330"/>
      <c r="F16" s="330"/>
    </row>
    <row r="17" spans="1:6">
      <c r="A17" s="1291" t="s">
        <v>7</v>
      </c>
      <c r="B17" s="1292">
        <v>632</v>
      </c>
      <c r="C17" s="330"/>
      <c r="D17" s="330"/>
      <c r="E17" s="330"/>
      <c r="F17" s="330"/>
    </row>
    <row r="18" spans="1:6">
      <c r="A18" s="1291" t="s">
        <v>8</v>
      </c>
      <c r="B18" s="1292">
        <v>1325</v>
      </c>
      <c r="C18" s="330"/>
      <c r="D18" s="330"/>
      <c r="E18" s="330"/>
      <c r="F18" s="330"/>
    </row>
    <row r="19" spans="1:6">
      <c r="A19" s="1291" t="s">
        <v>9</v>
      </c>
      <c r="B19" s="1292">
        <v>1239</v>
      </c>
      <c r="C19" s="330"/>
      <c r="D19" s="330"/>
      <c r="E19" s="330"/>
      <c r="F19" s="330"/>
    </row>
    <row r="20" spans="1:6">
      <c r="A20" s="1291" t="s">
        <v>10</v>
      </c>
      <c r="B20" s="1292">
        <v>982</v>
      </c>
      <c r="C20" s="330"/>
      <c r="D20" s="330"/>
      <c r="E20" s="330"/>
      <c r="F20" s="330"/>
    </row>
    <row r="21" spans="1:6">
      <c r="A21" s="1291" t="s">
        <v>11</v>
      </c>
      <c r="B21" s="1292">
        <v>637</v>
      </c>
      <c r="C21" s="330"/>
      <c r="D21" s="330"/>
      <c r="E21" s="330"/>
      <c r="F21" s="330"/>
    </row>
    <row r="22" spans="1:6">
      <c r="A22" s="1291" t="s">
        <v>12</v>
      </c>
      <c r="B22" s="1292">
        <v>2100</v>
      </c>
      <c r="C22" s="330"/>
      <c r="D22" s="330"/>
      <c r="E22" s="330"/>
      <c r="F22" s="330"/>
    </row>
    <row r="23" spans="1:6">
      <c r="A23" s="1291" t="s">
        <v>13</v>
      </c>
      <c r="B23" s="1292">
        <v>29</v>
      </c>
      <c r="C23" s="330"/>
      <c r="D23" s="330"/>
      <c r="E23" s="330"/>
      <c r="F23" s="330"/>
    </row>
    <row r="24" spans="1:6">
      <c r="A24" s="1291" t="s">
        <v>14</v>
      </c>
      <c r="B24" s="1292">
        <v>2</v>
      </c>
      <c r="C24" s="330"/>
      <c r="D24" s="330"/>
      <c r="E24" s="330"/>
      <c r="F24" s="330"/>
    </row>
    <row r="25" spans="1:6">
      <c r="A25" s="1291" t="s">
        <v>15</v>
      </c>
      <c r="B25" s="1292">
        <v>265</v>
      </c>
      <c r="C25" s="330"/>
      <c r="D25" s="330"/>
      <c r="E25" s="330"/>
      <c r="F25" s="330"/>
    </row>
    <row r="26" spans="1:6">
      <c r="A26" s="1291" t="s">
        <v>16</v>
      </c>
      <c r="B26" s="1292">
        <v>207</v>
      </c>
      <c r="C26" s="330"/>
      <c r="D26" s="330"/>
      <c r="E26" s="330"/>
      <c r="F26" s="330"/>
    </row>
    <row r="27" spans="1:6">
      <c r="A27" s="1291" t="s">
        <v>17</v>
      </c>
      <c r="B27" s="1292">
        <v>137</v>
      </c>
      <c r="C27" s="330"/>
      <c r="D27" s="330"/>
      <c r="E27" s="330"/>
      <c r="F27" s="330"/>
    </row>
    <row r="28" spans="1:6" s="43" customFormat="1">
      <c r="A28" s="1293" t="s">
        <v>18</v>
      </c>
      <c r="B28" s="1294">
        <v>0</v>
      </c>
      <c r="C28" s="336"/>
      <c r="D28" s="336"/>
      <c r="E28" s="336"/>
      <c r="F28" s="336"/>
    </row>
    <row r="29" spans="1:6">
      <c r="A29" s="1293" t="s">
        <v>892</v>
      </c>
      <c r="B29" s="1294">
        <v>278</v>
      </c>
      <c r="C29" s="336"/>
      <c r="D29" s="336"/>
      <c r="E29" s="336"/>
      <c r="F29" s="336"/>
    </row>
    <row r="30" spans="1:6">
      <c r="A30" s="1286" t="s">
        <v>893</v>
      </c>
      <c r="B30" s="1295">
        <v>63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16602.872224999999</v>
      </c>
    </row>
    <row r="37" spans="1:6">
      <c r="A37" s="1291" t="s">
        <v>24</v>
      </c>
      <c r="B37" s="1291" t="s">
        <v>27</v>
      </c>
      <c r="C37" s="1292">
        <v>0</v>
      </c>
      <c r="D37" s="1292">
        <v>0</v>
      </c>
      <c r="E37" s="1292">
        <v>0</v>
      </c>
      <c r="F37" s="1292">
        <v>0</v>
      </c>
    </row>
    <row r="38" spans="1:6">
      <c r="A38" s="1291" t="s">
        <v>24</v>
      </c>
      <c r="B38" s="1291" t="s">
        <v>28</v>
      </c>
      <c r="C38" s="1292">
        <v>4</v>
      </c>
      <c r="D38" s="1292">
        <v>386840.72042999999</v>
      </c>
      <c r="E38" s="1292">
        <v>4</v>
      </c>
      <c r="F38" s="1292">
        <v>30087.257674</v>
      </c>
    </row>
    <row r="39" spans="1:6">
      <c r="A39" s="1291" t="s">
        <v>29</v>
      </c>
      <c r="B39" s="1291" t="s">
        <v>30</v>
      </c>
      <c r="C39" s="1292">
        <v>9597</v>
      </c>
      <c r="D39" s="1292">
        <v>147368670.78999999</v>
      </c>
      <c r="E39" s="1292">
        <v>17580</v>
      </c>
      <c r="F39" s="1292">
        <v>64659666.602330998</v>
      </c>
    </row>
    <row r="40" spans="1:6">
      <c r="A40" s="1291" t="s">
        <v>29</v>
      </c>
      <c r="B40" s="1291" t="s">
        <v>28</v>
      </c>
      <c r="C40" s="1292">
        <v>1</v>
      </c>
      <c r="D40" s="1292">
        <v>27938.478204999999</v>
      </c>
      <c r="E40" s="1292">
        <v>1</v>
      </c>
      <c r="F40" s="1292">
        <v>3077.8805484</v>
      </c>
    </row>
    <row r="41" spans="1:6">
      <c r="A41" s="1291" t="s">
        <v>31</v>
      </c>
      <c r="B41" s="1291" t="s">
        <v>32</v>
      </c>
      <c r="C41" s="1292">
        <v>89</v>
      </c>
      <c r="D41" s="1292">
        <v>2229841.3339999998</v>
      </c>
      <c r="E41" s="1292">
        <v>332</v>
      </c>
      <c r="F41" s="1292">
        <v>18821030.664000001</v>
      </c>
    </row>
    <row r="42" spans="1:6">
      <c r="A42" s="1291" t="s">
        <v>31</v>
      </c>
      <c r="B42" s="1291" t="s">
        <v>33</v>
      </c>
      <c r="C42" s="1292">
        <v>8</v>
      </c>
      <c r="D42" s="1292">
        <v>26084889.794</v>
      </c>
      <c r="E42" s="1292">
        <v>7</v>
      </c>
      <c r="F42" s="1292">
        <v>23113362.793000001</v>
      </c>
    </row>
    <row r="43" spans="1:6">
      <c r="A43" s="1291" t="s">
        <v>31</v>
      </c>
      <c r="B43" s="1291" t="s">
        <v>34</v>
      </c>
      <c r="C43" s="1292">
        <v>0</v>
      </c>
      <c r="D43" s="1292">
        <v>0</v>
      </c>
      <c r="E43" s="1292">
        <v>0</v>
      </c>
      <c r="F43" s="1292">
        <v>0</v>
      </c>
    </row>
    <row r="44" spans="1:6">
      <c r="A44" s="1291" t="s">
        <v>31</v>
      </c>
      <c r="B44" s="1291" t="s">
        <v>35</v>
      </c>
      <c r="C44" s="1292">
        <v>9</v>
      </c>
      <c r="D44" s="1292">
        <v>326627.03162999998</v>
      </c>
      <c r="E44" s="1292">
        <v>23</v>
      </c>
      <c r="F44" s="1292">
        <v>539838.23656999995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7</v>
      </c>
      <c r="F47" s="1292">
        <v>294679.40852</v>
      </c>
    </row>
    <row r="48" spans="1:6">
      <c r="A48" s="1291" t="s">
        <v>31</v>
      </c>
      <c r="B48" s="1291" t="s">
        <v>28</v>
      </c>
      <c r="C48" s="1292">
        <v>66</v>
      </c>
      <c r="D48" s="1292">
        <v>10898423.358999999</v>
      </c>
      <c r="E48" s="1292">
        <v>87</v>
      </c>
      <c r="F48" s="1292">
        <v>10410026.338</v>
      </c>
    </row>
    <row r="49" spans="1:6">
      <c r="A49" s="1291" t="s">
        <v>31</v>
      </c>
      <c r="B49" s="1291" t="s">
        <v>39</v>
      </c>
      <c r="C49" s="1292">
        <v>0</v>
      </c>
      <c r="D49" s="1292">
        <v>0</v>
      </c>
      <c r="E49" s="1292">
        <v>0</v>
      </c>
      <c r="F49" s="1292">
        <v>0</v>
      </c>
    </row>
    <row r="50" spans="1:6">
      <c r="A50" s="1291" t="s">
        <v>31</v>
      </c>
      <c r="B50" s="1291" t="s">
        <v>40</v>
      </c>
      <c r="C50" s="1292">
        <v>9</v>
      </c>
      <c r="D50" s="1292">
        <v>1064626.8846</v>
      </c>
      <c r="E50" s="1292">
        <v>22</v>
      </c>
      <c r="F50" s="1292">
        <v>877044.71351999999</v>
      </c>
    </row>
    <row r="51" spans="1:6">
      <c r="A51" s="1291" t="s">
        <v>41</v>
      </c>
      <c r="B51" s="1291" t="s">
        <v>42</v>
      </c>
      <c r="C51" s="1292">
        <v>0</v>
      </c>
      <c r="D51" s="1292">
        <v>0</v>
      </c>
      <c r="E51" s="1292">
        <v>103</v>
      </c>
      <c r="F51" s="1292">
        <v>1607962.2655</v>
      </c>
    </row>
    <row r="52" spans="1:6">
      <c r="A52" s="1291" t="s">
        <v>41</v>
      </c>
      <c r="B52" s="1291" t="s">
        <v>28</v>
      </c>
      <c r="C52" s="1292">
        <v>10</v>
      </c>
      <c r="D52" s="1292">
        <v>1349999.1298</v>
      </c>
      <c r="E52" s="1292">
        <v>24</v>
      </c>
      <c r="F52" s="1292">
        <v>307701.61603999999</v>
      </c>
    </row>
    <row r="53" spans="1:6">
      <c r="A53" s="1291" t="s">
        <v>43</v>
      </c>
      <c r="B53" s="1291" t="s">
        <v>44</v>
      </c>
      <c r="C53" s="1292">
        <v>245</v>
      </c>
      <c r="D53" s="1292">
        <v>5333212.6453</v>
      </c>
      <c r="E53" s="1292">
        <v>632</v>
      </c>
      <c r="F53" s="1292">
        <v>2187608.1516</v>
      </c>
    </row>
    <row r="54" spans="1:6">
      <c r="A54" s="1291" t="s">
        <v>45</v>
      </c>
      <c r="B54" s="1291" t="s">
        <v>46</v>
      </c>
      <c r="C54" s="1292">
        <v>0</v>
      </c>
      <c r="D54" s="1292">
        <v>0</v>
      </c>
      <c r="E54" s="1292">
        <v>1</v>
      </c>
      <c r="F54" s="1292">
        <v>2779511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76</v>
      </c>
      <c r="D57" s="1292">
        <v>4770645.6339999996</v>
      </c>
      <c r="E57" s="1292">
        <v>161</v>
      </c>
      <c r="F57" s="1292">
        <v>4490999.2</v>
      </c>
    </row>
    <row r="58" spans="1:6">
      <c r="A58" s="1291" t="s">
        <v>48</v>
      </c>
      <c r="B58" s="1291" t="s">
        <v>50</v>
      </c>
      <c r="C58" s="1292">
        <v>28</v>
      </c>
      <c r="D58" s="1292">
        <v>3421441.5628999998</v>
      </c>
      <c r="E58" s="1292">
        <v>63</v>
      </c>
      <c r="F58" s="1292">
        <v>1969563.6459999999</v>
      </c>
    </row>
    <row r="59" spans="1:6">
      <c r="A59" s="1291" t="s">
        <v>48</v>
      </c>
      <c r="B59" s="1291" t="s">
        <v>51</v>
      </c>
      <c r="C59" s="1292">
        <v>194</v>
      </c>
      <c r="D59" s="1292">
        <v>12523267.966</v>
      </c>
      <c r="E59" s="1292">
        <v>481</v>
      </c>
      <c r="F59" s="1292">
        <v>14222859.736</v>
      </c>
    </row>
    <row r="60" spans="1:6">
      <c r="A60" s="1291" t="s">
        <v>48</v>
      </c>
      <c r="B60" s="1291" t="s">
        <v>52</v>
      </c>
      <c r="C60" s="1292">
        <v>109</v>
      </c>
      <c r="D60" s="1292">
        <v>5073220.0657000002</v>
      </c>
      <c r="E60" s="1292">
        <v>184</v>
      </c>
      <c r="F60" s="1292">
        <v>3923182.2305000001</v>
      </c>
    </row>
    <row r="61" spans="1:6">
      <c r="A61" s="1291" t="s">
        <v>48</v>
      </c>
      <c r="B61" s="1291" t="s">
        <v>53</v>
      </c>
      <c r="C61" s="1292">
        <v>294</v>
      </c>
      <c r="D61" s="1292">
        <v>13797329.963</v>
      </c>
      <c r="E61" s="1292">
        <v>746</v>
      </c>
      <c r="F61" s="1292">
        <v>8065914.2703999998</v>
      </c>
    </row>
    <row r="62" spans="1:6">
      <c r="A62" s="1291" t="s">
        <v>48</v>
      </c>
      <c r="B62" s="1291" t="s">
        <v>54</v>
      </c>
      <c r="C62" s="1292">
        <v>35</v>
      </c>
      <c r="D62" s="1292">
        <v>3815803.3955999999</v>
      </c>
      <c r="E62" s="1292">
        <v>35</v>
      </c>
      <c r="F62" s="1292">
        <v>895251.92926999996</v>
      </c>
    </row>
    <row r="63" spans="1:6">
      <c r="A63" s="1291" t="s">
        <v>48</v>
      </c>
      <c r="B63" s="1291" t="s">
        <v>28</v>
      </c>
      <c r="C63" s="1292">
        <v>235</v>
      </c>
      <c r="D63" s="1292">
        <v>14210237.049000001</v>
      </c>
      <c r="E63" s="1292">
        <v>313</v>
      </c>
      <c r="F63" s="1292">
        <v>15587427.402000001</v>
      </c>
    </row>
    <row r="64" spans="1:6">
      <c r="A64" s="1291" t="s">
        <v>55</v>
      </c>
      <c r="B64" s="1291" t="s">
        <v>56</v>
      </c>
      <c r="C64" s="1292">
        <v>0</v>
      </c>
      <c r="D64" s="1292">
        <v>0</v>
      </c>
      <c r="E64" s="1292">
        <v>0</v>
      </c>
      <c r="F64" s="1292">
        <v>0</v>
      </c>
    </row>
    <row r="65" spans="1:6">
      <c r="A65" s="1291" t="s">
        <v>55</v>
      </c>
      <c r="B65" s="1291" t="s">
        <v>28</v>
      </c>
      <c r="C65" s="1292">
        <v>4</v>
      </c>
      <c r="D65" s="1292">
        <v>121796.17541</v>
      </c>
      <c r="E65" s="1292">
        <v>4</v>
      </c>
      <c r="F65" s="1292">
        <v>34479.858444999998</v>
      </c>
    </row>
    <row r="66" spans="1:6">
      <c r="A66" s="1291" t="s">
        <v>55</v>
      </c>
      <c r="B66" s="1291" t="s">
        <v>57</v>
      </c>
      <c r="C66" s="1292">
        <v>0</v>
      </c>
      <c r="D66" s="1292">
        <v>0</v>
      </c>
      <c r="E66" s="1292">
        <v>7</v>
      </c>
      <c r="F66" s="1292">
        <v>88406</v>
      </c>
    </row>
    <row r="67" spans="1:6">
      <c r="A67" s="1293" t="s">
        <v>55</v>
      </c>
      <c r="B67" s="1293" t="s">
        <v>58</v>
      </c>
      <c r="C67" s="1292">
        <v>0</v>
      </c>
      <c r="D67" s="1292">
        <v>0</v>
      </c>
      <c r="E67" s="1292">
        <v>0</v>
      </c>
      <c r="F67" s="1292">
        <v>0</v>
      </c>
    </row>
    <row r="68" spans="1:6">
      <c r="A68" s="1286" t="s">
        <v>55</v>
      </c>
      <c r="B68" s="1286" t="s">
        <v>59</v>
      </c>
      <c r="C68" s="1295">
        <v>5</v>
      </c>
      <c r="D68" s="1295">
        <v>188734.2157</v>
      </c>
      <c r="E68" s="1295">
        <v>39</v>
      </c>
      <c r="F68" s="1295">
        <v>700215.16611999995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206709701</v>
      </c>
      <c r="E73" s="449"/>
      <c r="F73" s="330"/>
    </row>
    <row r="74" spans="1:6">
      <c r="A74" s="1291" t="s">
        <v>63</v>
      </c>
      <c r="B74" s="1291" t="s">
        <v>664</v>
      </c>
      <c r="C74" s="1305" t="s">
        <v>666</v>
      </c>
      <c r="D74" s="1306">
        <v>8543962.7332575135</v>
      </c>
      <c r="E74" s="449"/>
      <c r="F74" s="330"/>
    </row>
    <row r="75" spans="1:6">
      <c r="A75" s="1291" t="s">
        <v>64</v>
      </c>
      <c r="B75" s="1291" t="s">
        <v>663</v>
      </c>
      <c r="C75" s="1305" t="s">
        <v>667</v>
      </c>
      <c r="D75" s="1306">
        <v>46956244</v>
      </c>
      <c r="E75" s="449"/>
      <c r="F75" s="330"/>
    </row>
    <row r="76" spans="1:6">
      <c r="A76" s="1291" t="s">
        <v>64</v>
      </c>
      <c r="B76" s="1291" t="s">
        <v>664</v>
      </c>
      <c r="C76" s="1305" t="s">
        <v>668</v>
      </c>
      <c r="D76" s="1306">
        <v>1227620.7332575126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726292.53348497464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8170.6461223600199</v>
      </c>
      <c r="C91" s="330"/>
      <c r="D91" s="330"/>
      <c r="E91" s="330"/>
      <c r="F91" s="330"/>
    </row>
    <row r="92" spans="1:6">
      <c r="A92" s="1286" t="s">
        <v>68</v>
      </c>
      <c r="B92" s="1287">
        <v>4436.3525457506212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4495</v>
      </c>
      <c r="C97" s="330"/>
      <c r="D97" s="330"/>
      <c r="E97" s="330"/>
      <c r="F97" s="330"/>
    </row>
    <row r="98" spans="1:6">
      <c r="A98" s="1291" t="s">
        <v>71</v>
      </c>
      <c r="B98" s="1292">
        <v>9</v>
      </c>
      <c r="C98" s="330"/>
      <c r="D98" s="330"/>
      <c r="E98" s="330"/>
      <c r="F98" s="330"/>
    </row>
    <row r="99" spans="1:6">
      <c r="A99" s="1291" t="s">
        <v>72</v>
      </c>
      <c r="B99" s="1292">
        <v>209</v>
      </c>
      <c r="C99" s="330"/>
      <c r="D99" s="330"/>
      <c r="E99" s="330"/>
      <c r="F99" s="330"/>
    </row>
    <row r="100" spans="1:6">
      <c r="A100" s="1291" t="s">
        <v>73</v>
      </c>
      <c r="B100" s="1292">
        <v>794</v>
      </c>
      <c r="C100" s="330"/>
      <c r="D100" s="330"/>
      <c r="E100" s="330"/>
      <c r="F100" s="330"/>
    </row>
    <row r="101" spans="1:6">
      <c r="A101" s="1291" t="s">
        <v>74</v>
      </c>
      <c r="B101" s="1292">
        <v>166</v>
      </c>
      <c r="C101" s="330"/>
      <c r="D101" s="330"/>
      <c r="E101" s="330"/>
      <c r="F101" s="330"/>
    </row>
    <row r="102" spans="1:6">
      <c r="A102" s="1291" t="s">
        <v>75</v>
      </c>
      <c r="B102" s="1292">
        <v>188</v>
      </c>
      <c r="C102" s="330"/>
      <c r="D102" s="330"/>
      <c r="E102" s="330"/>
      <c r="F102" s="330"/>
    </row>
    <row r="103" spans="1:6">
      <c r="A103" s="1291" t="s">
        <v>76</v>
      </c>
      <c r="B103" s="1292">
        <v>538</v>
      </c>
      <c r="C103" s="330"/>
      <c r="D103" s="330"/>
      <c r="E103" s="330"/>
      <c r="F103" s="330"/>
    </row>
    <row r="104" spans="1:6">
      <c r="A104" s="1291" t="s">
        <v>77</v>
      </c>
      <c r="B104" s="1292">
        <v>8528</v>
      </c>
      <c r="C104" s="330"/>
      <c r="D104" s="330"/>
      <c r="E104" s="330"/>
      <c r="F104" s="330"/>
    </row>
    <row r="105" spans="1:6">
      <c r="A105" s="1286" t="s">
        <v>78</v>
      </c>
      <c r="B105" s="1295">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82</v>
      </c>
      <c r="C123" s="1292">
        <v>52</v>
      </c>
      <c r="D123" s="330"/>
      <c r="E123" s="330"/>
      <c r="F123" s="330"/>
    </row>
    <row r="124" spans="1:6" s="43" customFormat="1">
      <c r="A124" s="1293" t="s">
        <v>88</v>
      </c>
      <c r="B124" s="1314">
        <v>1</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310</v>
      </c>
      <c r="C129" s="330"/>
      <c r="D129" s="330"/>
      <c r="E129" s="330"/>
      <c r="F129" s="330"/>
    </row>
    <row r="130" spans="1:6">
      <c r="A130" s="1291" t="s">
        <v>294</v>
      </c>
      <c r="B130" s="1292">
        <v>6</v>
      </c>
      <c r="C130" s="330"/>
      <c r="D130" s="330"/>
      <c r="E130" s="330"/>
      <c r="F130" s="330"/>
    </row>
    <row r="131" spans="1:6">
      <c r="A131" s="1291" t="s">
        <v>295</v>
      </c>
      <c r="B131" s="1292">
        <v>2</v>
      </c>
      <c r="C131" s="330"/>
      <c r="D131" s="330"/>
      <c r="E131" s="330"/>
      <c r="F131" s="330"/>
    </row>
    <row r="132" spans="1:6">
      <c r="A132" s="1286" t="s">
        <v>296</v>
      </c>
      <c r="B132" s="1287">
        <v>64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182979.54652747588</v>
      </c>
      <c r="C3" s="43" t="s">
        <v>169</v>
      </c>
      <c r="D3" s="43"/>
      <c r="E3" s="154"/>
      <c r="F3" s="43"/>
      <c r="G3" s="43"/>
      <c r="H3" s="43"/>
      <c r="I3" s="43"/>
      <c r="J3" s="43"/>
      <c r="K3" s="96"/>
    </row>
    <row r="4" spans="1:11">
      <c r="A4" s="358" t="s">
        <v>170</v>
      </c>
      <c r="B4" s="49">
        <f>IF(ISERROR('SEAP template'!B78+'SEAP template'!C78),0,'SEAP template'!B78+'SEAP template'!C78)</f>
        <v>12606.998668110642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0.20577345277913842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2779.511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2779.511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0.20577345277913842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571.9495755075958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64662.744482879403</v>
      </c>
      <c r="C5" s="17">
        <f>IF(ISERROR('Eigen informatie GS &amp; warmtenet'!B57),0,'Eigen informatie GS &amp; warmtenet'!B57)</f>
        <v>0</v>
      </c>
      <c r="D5" s="30">
        <f>(SUM(HH_hh_gas_kWh,HH_rest_gas_kWh)/1000)*0.902</f>
        <v>132951.74155992089</v>
      </c>
      <c r="E5" s="17">
        <f>B46*B57</f>
        <v>57165.680446767692</v>
      </c>
      <c r="F5" s="17">
        <f>B51*B62</f>
        <v>80223.978757055098</v>
      </c>
      <c r="G5" s="18"/>
      <c r="H5" s="17"/>
      <c r="I5" s="17"/>
      <c r="J5" s="17">
        <f>B50*B61+C50*C61</f>
        <v>493.12545005842384</v>
      </c>
      <c r="K5" s="17"/>
      <c r="L5" s="17"/>
      <c r="M5" s="17"/>
      <c r="N5" s="17">
        <f>B48*B59+C48*C59</f>
        <v>36284.340030407257</v>
      </c>
      <c r="O5" s="17">
        <f>B69*B70*B71</f>
        <v>572.18000000000006</v>
      </c>
      <c r="P5" s="17">
        <f>B77*B78*B79/1000-B77*B78*B79/1000/B80</f>
        <v>2802.8</v>
      </c>
    </row>
    <row r="6" spans="1:16">
      <c r="A6" s="16" t="s">
        <v>623</v>
      </c>
      <c r="B6" s="762">
        <f>kWh_PV_kleiner_dan_10kW</f>
        <v>8170.6461223600199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72833.39060523943</v>
      </c>
      <c r="C8" s="21">
        <f>C5</f>
        <v>0</v>
      </c>
      <c r="D8" s="21">
        <f>D5</f>
        <v>132951.74155992089</v>
      </c>
      <c r="E8" s="21">
        <f>E5</f>
        <v>57165.680446767692</v>
      </c>
      <c r="F8" s="21">
        <f>F5</f>
        <v>80223.978757055098</v>
      </c>
      <c r="G8" s="21"/>
      <c r="H8" s="21"/>
      <c r="I8" s="21"/>
      <c r="J8" s="21">
        <f>J5</f>
        <v>493.12545005842384</v>
      </c>
      <c r="K8" s="21"/>
      <c r="L8" s="21">
        <f>L5</f>
        <v>0</v>
      </c>
      <c r="M8" s="21">
        <f>M5</f>
        <v>0</v>
      </c>
      <c r="N8" s="21">
        <f>N5</f>
        <v>36284.340030407257</v>
      </c>
      <c r="O8" s="21">
        <f>O5</f>
        <v>572.18000000000006</v>
      </c>
      <c r="P8" s="21">
        <f>P5</f>
        <v>2802.8</v>
      </c>
    </row>
    <row r="9" spans="1:16">
      <c r="B9" s="19"/>
      <c r="C9" s="19"/>
      <c r="D9" s="258"/>
      <c r="E9" s="19"/>
      <c r="F9" s="19"/>
      <c r="G9" s="19"/>
      <c r="H9" s="19"/>
      <c r="I9" s="19"/>
      <c r="J9" s="19"/>
      <c r="K9" s="19"/>
      <c r="L9" s="19"/>
      <c r="M9" s="19"/>
      <c r="N9" s="19"/>
      <c r="O9" s="19"/>
      <c r="P9" s="19"/>
    </row>
    <row r="10" spans="1:16">
      <c r="A10" s="24" t="s">
        <v>213</v>
      </c>
      <c r="B10" s="25">
        <f ca="1">'EF ele_warmte'!B12</f>
        <v>0.20577345277913842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14987.17826245178</v>
      </c>
      <c r="C12" s="23">
        <f ca="1">C10*C8</f>
        <v>0</v>
      </c>
      <c r="D12" s="23">
        <f>D8*D10</f>
        <v>26856.251795104021</v>
      </c>
      <c r="E12" s="23">
        <f>E10*E8</f>
        <v>12976.609461416267</v>
      </c>
      <c r="F12" s="23">
        <f>F10*F8</f>
        <v>21419.802328133712</v>
      </c>
      <c r="G12" s="23"/>
      <c r="H12" s="23"/>
      <c r="I12" s="23"/>
      <c r="J12" s="23">
        <f>J10*J8</f>
        <v>174.56640932068203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695</v>
      </c>
      <c r="B28" s="37">
        <f>aantalHuishoudens</f>
        <v>17626</v>
      </c>
      <c r="C28" s="36"/>
      <c r="D28" s="228"/>
    </row>
    <row r="29" spans="1:7" s="15" customFormat="1">
      <c r="A29" s="230" t="s">
        <v>696</v>
      </c>
      <c r="B29" s="37">
        <f>SUM(HH_hh_gas_aantal,HH_rest_gas_aantal)</f>
        <v>9598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9598</v>
      </c>
      <c r="C32" s="167">
        <f>IF(ISERROR(B32/SUM($B$32,$B$34,$B$35,$B$36,$B$38,$B$39)*100),0,B32/SUM($B$32,$B$34,$B$35,$B$36,$B$38,$B$39)*100)</f>
        <v>54.911608215572969</v>
      </c>
      <c r="D32" s="233"/>
      <c r="G32" s="15"/>
    </row>
    <row r="33" spans="1:7">
      <c r="A33" s="171" t="s">
        <v>71</v>
      </c>
      <c r="B33" s="34" t="s">
        <v>110</v>
      </c>
      <c r="C33" s="167"/>
      <c r="D33" s="233"/>
      <c r="G33" s="15"/>
    </row>
    <row r="34" spans="1:7">
      <c r="A34" s="171" t="s">
        <v>72</v>
      </c>
      <c r="B34" s="33">
        <f>IF((($B$28-$B$32-$B$39-$B$77-$B$38)*C20/100)&lt;0,0,($B$28-$B$32-$B$39-$B$77-$B$38)*C20/100)</f>
        <v>700.48075278015403</v>
      </c>
      <c r="C34" s="167">
        <f>IF(ISERROR(B34/SUM($B$32,$B$34,$B$35,$B$36,$B$38,$B$39)*100),0,B34/SUM($B$32,$B$34,$B$35,$B$36,$B$38,$B$39)*100)</f>
        <v>4.0075562262151951</v>
      </c>
      <c r="D34" s="233"/>
      <c r="G34" s="15"/>
    </row>
    <row r="35" spans="1:7">
      <c r="A35" s="171" t="s">
        <v>73</v>
      </c>
      <c r="B35" s="33">
        <f>IF((($B$28-$B$32-$B$39-$B$77-$B$38)*C21/100)&lt;0,0,($B$28-$B$32-$B$39-$B$77-$B$38)*C21/100)</f>
        <v>2661.1565440547479</v>
      </c>
      <c r="C35" s="167">
        <f>IF(ISERROR(B35/SUM($B$32,$B$34,$B$35,$B$36,$B$38,$B$39)*100),0,B35/SUM($B$32,$B$34,$B$35,$B$36,$B$38,$B$39)*100)</f>
        <v>15.224878677583087</v>
      </c>
      <c r="D35" s="233"/>
      <c r="G35" s="15"/>
    </row>
    <row r="36" spans="1:7">
      <c r="A36" s="171" t="s">
        <v>74</v>
      </c>
      <c r="B36" s="33">
        <f>IF((($B$28-$B$32-$B$39-$B$77-$B$38)*C22/100)&lt;0,0,($B$28-$B$32-$B$39-$B$77-$B$38)*C22/100)</f>
        <v>556.36270316509831</v>
      </c>
      <c r="C36" s="167">
        <f>IF(ISERROR(B36/SUM($B$32,$B$34,$B$35,$B$36,$B$38,$B$39)*100),0,B36/SUM($B$32,$B$34,$B$35,$B$36,$B$38,$B$39)*100)</f>
        <v>3.1830350887642216</v>
      </c>
      <c r="D36" s="233"/>
      <c r="G36" s="15"/>
    </row>
    <row r="37" spans="1:7">
      <c r="A37" s="171" t="s">
        <v>75</v>
      </c>
      <c r="B37" s="34" t="s">
        <v>110</v>
      </c>
      <c r="C37" s="167"/>
      <c r="D37" s="173"/>
      <c r="G37" s="15"/>
    </row>
    <row r="38" spans="1:7">
      <c r="A38" s="171" t="s">
        <v>76</v>
      </c>
      <c r="B38" s="33">
        <f>IF((B24-(B29-B18)*0.1)&lt;0,0,B24-(B29-B18)*0.1)</f>
        <v>27.699999999999989</v>
      </c>
      <c r="C38" s="167">
        <f>IF(ISERROR(B38/SUM($B$32,$B$34,$B$35,$B$36,$B$38,$B$39)*100),0,B38/SUM($B$32,$B$34,$B$35,$B$36,$B$38,$B$39)*100)</f>
        <v>0.15847588534813198</v>
      </c>
      <c r="D38" s="234"/>
      <c r="G38" s="15"/>
    </row>
    <row r="39" spans="1:7">
      <c r="A39" s="171" t="s">
        <v>77</v>
      </c>
      <c r="B39" s="33">
        <f>IF((B25-(B29-B18))&lt;0,0,B25-(B29-B18)*0.9)</f>
        <v>3935.3</v>
      </c>
      <c r="C39" s="167">
        <f>IF(ISERROR(B39/SUM($B$32,$B$34,$B$35,$B$36,$B$38,$B$39)*100),0,B39/SUM($B$32,$B$34,$B$35,$B$36,$B$38,$B$39)*100)</f>
        <v>22.514445906516393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9598</v>
      </c>
      <c r="C44" s="34" t="s">
        <v>110</v>
      </c>
      <c r="D44" s="174"/>
    </row>
    <row r="45" spans="1:7">
      <c r="A45" s="171" t="s">
        <v>71</v>
      </c>
      <c r="B45" s="33" t="str">
        <f t="shared" si="0"/>
        <v>-</v>
      </c>
      <c r="C45" s="34" t="s">
        <v>110</v>
      </c>
      <c r="D45" s="174"/>
    </row>
    <row r="46" spans="1:7">
      <c r="A46" s="171" t="s">
        <v>72</v>
      </c>
      <c r="B46" s="33">
        <f t="shared" si="0"/>
        <v>700.48075278015403</v>
      </c>
      <c r="C46" s="34" t="s">
        <v>110</v>
      </c>
      <c r="D46" s="174"/>
    </row>
    <row r="47" spans="1:7">
      <c r="A47" s="171" t="s">
        <v>73</v>
      </c>
      <c r="B47" s="33">
        <f t="shared" si="0"/>
        <v>2661.1565440547479</v>
      </c>
      <c r="C47" s="34" t="s">
        <v>110</v>
      </c>
      <c r="D47" s="174"/>
    </row>
    <row r="48" spans="1:7">
      <c r="A48" s="171" t="s">
        <v>74</v>
      </c>
      <c r="B48" s="33">
        <f t="shared" si="0"/>
        <v>556.36270316509831</v>
      </c>
      <c r="C48" s="33">
        <f>B48*10</f>
        <v>5563.6270316509836</v>
      </c>
      <c r="D48" s="234"/>
    </row>
    <row r="49" spans="1:6">
      <c r="A49" s="171" t="s">
        <v>75</v>
      </c>
      <c r="B49" s="33" t="str">
        <f t="shared" si="0"/>
        <v>-</v>
      </c>
      <c r="C49" s="34" t="s">
        <v>110</v>
      </c>
      <c r="D49" s="234"/>
    </row>
    <row r="50" spans="1:6">
      <c r="A50" s="171" t="s">
        <v>76</v>
      </c>
      <c r="B50" s="33">
        <f t="shared" si="0"/>
        <v>27.699999999999989</v>
      </c>
      <c r="C50" s="33">
        <f>B50*2</f>
        <v>55.399999999999977</v>
      </c>
      <c r="D50" s="234"/>
    </row>
    <row r="51" spans="1:6">
      <c r="A51" s="171" t="s">
        <v>77</v>
      </c>
      <c r="B51" s="33">
        <f t="shared" si="0"/>
        <v>3935.3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49155.198414170001</v>
      </c>
      <c r="C5" s="17">
        <f>IF(ISERROR('Eigen informatie GS &amp; warmtenet'!B58),0,'Eigen informatie GS &amp; warmtenet'!B58)</f>
        <v>0</v>
      </c>
      <c r="D5" s="30">
        <f>SUM(D6:D12)</f>
        <v>51965.974963852408</v>
      </c>
      <c r="E5" s="17">
        <f>SUM(E6:E12)</f>
        <v>967.34381022234436</v>
      </c>
      <c r="F5" s="17">
        <f>SUM(F6:F12)</f>
        <v>12364.005452485555</v>
      </c>
      <c r="G5" s="18"/>
      <c r="H5" s="17"/>
      <c r="I5" s="17"/>
      <c r="J5" s="17">
        <f>SUM(J6:J12)</f>
        <v>0</v>
      </c>
      <c r="K5" s="17"/>
      <c r="L5" s="17"/>
      <c r="M5" s="17"/>
      <c r="N5" s="17">
        <f>SUM(N6:N12)</f>
        <v>4965.3932454946444</v>
      </c>
      <c r="O5" s="17">
        <f>B38*B39*B40</f>
        <v>9.3800000000000008</v>
      </c>
      <c r="P5" s="17">
        <f>B46*B47*B48/1000-B46*B47*B48/1000/B49</f>
        <v>38.133333333333333</v>
      </c>
      <c r="R5" s="32"/>
    </row>
    <row r="6" spans="1:18">
      <c r="A6" s="32" t="s">
        <v>53</v>
      </c>
      <c r="B6" s="37">
        <f>B26</f>
        <v>8065.9142703999996</v>
      </c>
      <c r="C6" s="33"/>
      <c r="D6" s="37">
        <f>IF(ISERROR(TER_kantoor_gas_kWh/1000),0,TER_kantoor_gas_kWh/1000)*0.902</f>
        <v>12445.191626626</v>
      </c>
      <c r="E6" s="33">
        <f>$C$26*'E Balans VL '!I12/100/3.6*1000000</f>
        <v>105.59275356519113</v>
      </c>
      <c r="F6" s="33">
        <f>$C$26*('E Balans VL '!L12+'E Balans VL '!N12)/100/3.6*1000000</f>
        <v>2056.7247889074624</v>
      </c>
      <c r="G6" s="34"/>
      <c r="H6" s="33"/>
      <c r="I6" s="33"/>
      <c r="J6" s="33">
        <f>$C$26*('E Balans VL '!D12+'E Balans VL '!E12)/100/3.6*1000000</f>
        <v>0</v>
      </c>
      <c r="K6" s="33"/>
      <c r="L6" s="33"/>
      <c r="M6" s="33"/>
      <c r="N6" s="33">
        <f>$C$26*'E Balans VL '!Y12/100/3.6*1000000</f>
        <v>8.0930758046725444</v>
      </c>
      <c r="O6" s="33"/>
      <c r="P6" s="33"/>
      <c r="R6" s="32"/>
    </row>
    <row r="7" spans="1:18">
      <c r="A7" s="32" t="s">
        <v>52</v>
      </c>
      <c r="B7" s="37">
        <f t="shared" ref="B7:B12" si="0">B27</f>
        <v>3923.1822305000001</v>
      </c>
      <c r="C7" s="33"/>
      <c r="D7" s="37">
        <f>IF(ISERROR(TER_horeca_gas_kWh/1000),0,TER_horeca_gas_kWh/1000)*0.902</f>
        <v>4576.0444992614002</v>
      </c>
      <c r="E7" s="33">
        <f>$C$27*'E Balans VL '!I9/100/3.6*1000000</f>
        <v>129.83346791257944</v>
      </c>
      <c r="F7" s="33">
        <f>$C$27*('E Balans VL '!L9+'E Balans VL '!N9)/100/3.6*1000000</f>
        <v>1686.9533236594746</v>
      </c>
      <c r="G7" s="34"/>
      <c r="H7" s="33"/>
      <c r="I7" s="33"/>
      <c r="J7" s="33">
        <f>$C$27*('E Balans VL '!D9+'E Balans VL '!E9)/100/3.6*1000000</f>
        <v>0</v>
      </c>
      <c r="K7" s="33"/>
      <c r="L7" s="33"/>
      <c r="M7" s="33"/>
      <c r="N7" s="33">
        <f>$C$27*'E Balans VL '!Y9/100/3.6*1000000</f>
        <v>0.94436693373936909</v>
      </c>
      <c r="O7" s="33"/>
      <c r="P7" s="33"/>
      <c r="R7" s="32"/>
    </row>
    <row r="8" spans="1:18">
      <c r="A8" s="6" t="s">
        <v>51</v>
      </c>
      <c r="B8" s="37">
        <f t="shared" si="0"/>
        <v>14222.859736</v>
      </c>
      <c r="C8" s="33"/>
      <c r="D8" s="37">
        <f>IF(ISERROR(TER_handel_gas_kWh/1000),0,TER_handel_gas_kWh/1000)*0.902</f>
        <v>11295.987705332</v>
      </c>
      <c r="E8" s="33">
        <f>$C$28*'E Balans VL '!I13/100/3.6*1000000</f>
        <v>448.89518515095278</v>
      </c>
      <c r="F8" s="33">
        <f>$C$28*('E Balans VL '!L13+'E Balans VL '!N13)/100/3.6*1000000</f>
        <v>2789.3532432402985</v>
      </c>
      <c r="G8" s="34"/>
      <c r="H8" s="33"/>
      <c r="I8" s="33"/>
      <c r="J8" s="33">
        <f>$C$28*('E Balans VL '!D13+'E Balans VL '!E13)/100/3.6*1000000</f>
        <v>0</v>
      </c>
      <c r="K8" s="33"/>
      <c r="L8" s="33"/>
      <c r="M8" s="33"/>
      <c r="N8" s="33">
        <f>$C$28*'E Balans VL '!Y13/100/3.6*1000000</f>
        <v>16.879773172313687</v>
      </c>
      <c r="O8" s="33"/>
      <c r="P8" s="33"/>
      <c r="R8" s="32"/>
    </row>
    <row r="9" spans="1:18">
      <c r="A9" s="32" t="s">
        <v>50</v>
      </c>
      <c r="B9" s="37">
        <f t="shared" si="0"/>
        <v>1969.5636460000001</v>
      </c>
      <c r="C9" s="33"/>
      <c r="D9" s="37">
        <f>IF(ISERROR(TER_gezond_gas_kWh/1000),0,TER_gezond_gas_kWh/1000)*0.902</f>
        <v>3086.1402897358003</v>
      </c>
      <c r="E9" s="33">
        <f>$C$29*'E Balans VL '!I10/100/3.6*1000000</f>
        <v>0.2521617649940216</v>
      </c>
      <c r="F9" s="33">
        <f>$C$29*('E Balans VL '!L10+'E Balans VL '!N10)/100/3.6*1000000</f>
        <v>410.34265943954637</v>
      </c>
      <c r="G9" s="34"/>
      <c r="H9" s="33"/>
      <c r="I9" s="33"/>
      <c r="J9" s="33">
        <f>$C$29*('E Balans VL '!D10+'E Balans VL '!E10)/100/3.6*1000000</f>
        <v>0</v>
      </c>
      <c r="K9" s="33"/>
      <c r="L9" s="33"/>
      <c r="M9" s="33"/>
      <c r="N9" s="33">
        <f>$C$29*'E Balans VL '!Y10/100/3.6*1000000</f>
        <v>23.133455960435651</v>
      </c>
      <c r="O9" s="33"/>
      <c r="P9" s="33"/>
      <c r="R9" s="32"/>
    </row>
    <row r="10" spans="1:18">
      <c r="A10" s="32" t="s">
        <v>49</v>
      </c>
      <c r="B10" s="37">
        <f t="shared" si="0"/>
        <v>4490.9992000000002</v>
      </c>
      <c r="C10" s="33"/>
      <c r="D10" s="37">
        <f>IF(ISERROR(TER_ander_gas_kWh/1000),0,TER_ander_gas_kWh/1000)*0.902</f>
        <v>4303.1223618679996</v>
      </c>
      <c r="E10" s="33">
        <f>$C$30*'E Balans VL '!I14/100/3.6*1000000</f>
        <v>6.753406668332782</v>
      </c>
      <c r="F10" s="33">
        <f>$C$30*('E Balans VL '!L14+'E Balans VL '!N14)/100/3.6*1000000</f>
        <v>991.46785781071674</v>
      </c>
      <c r="G10" s="34"/>
      <c r="H10" s="33"/>
      <c r="I10" s="33"/>
      <c r="J10" s="33">
        <f>$C$30*('E Balans VL '!D14+'E Balans VL '!E14)/100/3.6*1000000</f>
        <v>0</v>
      </c>
      <c r="K10" s="33"/>
      <c r="L10" s="33"/>
      <c r="M10" s="33"/>
      <c r="N10" s="33">
        <f>$C$30*'E Balans VL '!Y14/100/3.6*1000000</f>
        <v>3539.2096024508478</v>
      </c>
      <c r="O10" s="33"/>
      <c r="P10" s="33"/>
      <c r="R10" s="32"/>
    </row>
    <row r="11" spans="1:18">
      <c r="A11" s="32" t="s">
        <v>54</v>
      </c>
      <c r="B11" s="37">
        <f t="shared" si="0"/>
        <v>895.25192927000001</v>
      </c>
      <c r="C11" s="33"/>
      <c r="D11" s="37">
        <f>IF(ISERROR(TER_onderwijs_gas_kWh/1000),0,TER_onderwijs_gas_kWh/1000)*0.902</f>
        <v>3441.8546628312001</v>
      </c>
      <c r="E11" s="33">
        <f>$C$31*'E Balans VL '!I11/100/3.6*1000000</f>
        <v>1.5766136692968191</v>
      </c>
      <c r="F11" s="33">
        <f>$C$31*('E Balans VL '!L11+'E Balans VL '!N11)/100/3.6*1000000</f>
        <v>413.35401530082623</v>
      </c>
      <c r="G11" s="34"/>
      <c r="H11" s="33"/>
      <c r="I11" s="33"/>
      <c r="J11" s="33">
        <f>$C$31*('E Balans VL '!D11+'E Balans VL '!E11)/100/3.6*1000000</f>
        <v>0</v>
      </c>
      <c r="K11" s="33"/>
      <c r="L11" s="33"/>
      <c r="M11" s="33"/>
      <c r="N11" s="33">
        <f>$C$31*'E Balans VL '!Y11/100/3.6*1000000</f>
        <v>1.6678667244708303</v>
      </c>
      <c r="O11" s="33"/>
      <c r="P11" s="33"/>
      <c r="R11" s="32"/>
    </row>
    <row r="12" spans="1:18">
      <c r="A12" s="32" t="s">
        <v>259</v>
      </c>
      <c r="B12" s="37">
        <f t="shared" si="0"/>
        <v>15587.427402000001</v>
      </c>
      <c r="C12" s="33"/>
      <c r="D12" s="37">
        <f>IF(ISERROR(TER_rest_gas_kWh/1000),0,TER_rest_gas_kWh/1000)*0.902</f>
        <v>12817.633818198001</v>
      </c>
      <c r="E12" s="33">
        <f>$C$32*'E Balans VL '!I8/100/3.6*1000000</f>
        <v>274.44022149099726</v>
      </c>
      <c r="F12" s="33">
        <f>$C$32*('E Balans VL '!L8+'E Balans VL '!N8)/100/3.6*1000000</f>
        <v>4015.8095641272298</v>
      </c>
      <c r="G12" s="34"/>
      <c r="H12" s="33"/>
      <c r="I12" s="33"/>
      <c r="J12" s="33">
        <f>$C$32*('E Balans VL '!D8+'E Balans VL '!E8)/100/3.6*1000000</f>
        <v>0</v>
      </c>
      <c r="K12" s="33"/>
      <c r="L12" s="33"/>
      <c r="M12" s="33"/>
      <c r="N12" s="33">
        <f>$C$32*'E Balans VL '!Y8/100/3.6*1000000</f>
        <v>1375.4651044481641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49155.198414170001</v>
      </c>
      <c r="C16" s="21">
        <f t="shared" ca="1" si="1"/>
        <v>0</v>
      </c>
      <c r="D16" s="21">
        <f t="shared" ca="1" si="1"/>
        <v>51965.974963852408</v>
      </c>
      <c r="E16" s="21">
        <f t="shared" si="1"/>
        <v>967.34381022234436</v>
      </c>
      <c r="F16" s="21">
        <f t="shared" ca="1" si="1"/>
        <v>12364.005452485555</v>
      </c>
      <c r="G16" s="21">
        <f t="shared" si="1"/>
        <v>0</v>
      </c>
      <c r="H16" s="21">
        <f t="shared" si="1"/>
        <v>0</v>
      </c>
      <c r="I16" s="21">
        <f t="shared" si="1"/>
        <v>0</v>
      </c>
      <c r="J16" s="21">
        <f t="shared" si="1"/>
        <v>0</v>
      </c>
      <c r="K16" s="21">
        <f t="shared" si="1"/>
        <v>0</v>
      </c>
      <c r="L16" s="21">
        <f t="shared" ca="1" si="1"/>
        <v>0</v>
      </c>
      <c r="M16" s="21">
        <f t="shared" si="1"/>
        <v>0</v>
      </c>
      <c r="N16" s="21">
        <f t="shared" ca="1" si="1"/>
        <v>4965.3932454946444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0.20577345277913842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10114.83489972739</v>
      </c>
      <c r="C20" s="23">
        <f t="shared" ref="C20:P20" ca="1" si="2">C16*C18</f>
        <v>0</v>
      </c>
      <c r="D20" s="23">
        <f t="shared" ca="1" si="2"/>
        <v>10497.126942698187</v>
      </c>
      <c r="E20" s="23">
        <f t="shared" si="2"/>
        <v>219.58704492047218</v>
      </c>
      <c r="F20" s="23">
        <f t="shared" ca="1" si="2"/>
        <v>3301.1894558136432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8065.9142703999996</v>
      </c>
      <c r="C26" s="39">
        <f>IF(ISERROR(B26*3.6/1000000/'E Balans VL '!Z12*100),0,B26*3.6/1000000/'E Balans VL '!Z12*100)</f>
        <v>0.17277814983676315</v>
      </c>
      <c r="D26" s="237" t="s">
        <v>659</v>
      </c>
      <c r="F26" s="6"/>
    </row>
    <row r="27" spans="1:18">
      <c r="A27" s="231" t="s">
        <v>52</v>
      </c>
      <c r="B27" s="33">
        <f>IF(ISERROR(TER_horeca_ele_kWh/1000),0,TER_horeca_ele_kWh/1000)</f>
        <v>3923.1822305000001</v>
      </c>
      <c r="C27" s="39">
        <f>IF(ISERROR(B27*3.6/1000000/'E Balans VL '!Z9*100),0,B27*3.6/1000000/'E Balans VL '!Z9*100)</f>
        <v>0.31482173715538531</v>
      </c>
      <c r="D27" s="237" t="s">
        <v>659</v>
      </c>
      <c r="F27" s="6"/>
    </row>
    <row r="28" spans="1:18">
      <c r="A28" s="171" t="s">
        <v>51</v>
      </c>
      <c r="B28" s="33">
        <f>IF(ISERROR(TER_handel_ele_kWh/1000),0,TER_handel_ele_kWh/1000)</f>
        <v>14222.859736</v>
      </c>
      <c r="C28" s="39">
        <f>IF(ISERROR(B28*3.6/1000000/'E Balans VL '!Z13*100),0,B28*3.6/1000000/'E Balans VL '!Z13*100)</f>
        <v>0.41949278314247912</v>
      </c>
      <c r="D28" s="237" t="s">
        <v>659</v>
      </c>
      <c r="F28" s="6"/>
    </row>
    <row r="29" spans="1:18">
      <c r="A29" s="231" t="s">
        <v>50</v>
      </c>
      <c r="B29" s="33">
        <f>IF(ISERROR(TER_gezond_ele_kWh/1000),0,TER_gezond_ele_kWh/1000)</f>
        <v>1969.5636460000001</v>
      </c>
      <c r="C29" s="39">
        <f>IF(ISERROR(B29*3.6/1000000/'E Balans VL '!Z10*100),0,B29*3.6/1000000/'E Balans VL '!Z10*100)</f>
        <v>0.21029659141124277</v>
      </c>
      <c r="D29" s="237" t="s">
        <v>659</v>
      </c>
      <c r="F29" s="6"/>
    </row>
    <row r="30" spans="1:18">
      <c r="A30" s="231" t="s">
        <v>49</v>
      </c>
      <c r="B30" s="33">
        <f>IF(ISERROR(TER_ander_ele_kWh/1000),0,TER_ander_ele_kWh/1000)</f>
        <v>4490.9992000000002</v>
      </c>
      <c r="C30" s="39">
        <f>IF(ISERROR(B30*3.6/1000000/'E Balans VL '!Z14*100),0,B30*3.6/1000000/'E Balans VL '!Z14*100)</f>
        <v>0.33922280501850333</v>
      </c>
      <c r="D30" s="237" t="s">
        <v>659</v>
      </c>
      <c r="F30" s="6"/>
    </row>
    <row r="31" spans="1:18">
      <c r="A31" s="231" t="s">
        <v>54</v>
      </c>
      <c r="B31" s="33">
        <f>IF(ISERROR(TER_onderwijs_ele_kWh/1000),0,TER_onderwijs_ele_kWh/1000)</f>
        <v>895.25192927000001</v>
      </c>
      <c r="C31" s="39">
        <f>IF(ISERROR(B31*3.6/1000000/'E Balans VL '!Z11*100),0,B31*3.6/1000000/'E Balans VL '!Z11*100)</f>
        <v>0.18078125033781736</v>
      </c>
      <c r="D31" s="237" t="s">
        <v>659</v>
      </c>
    </row>
    <row r="32" spans="1:18">
      <c r="A32" s="231" t="s">
        <v>259</v>
      </c>
      <c r="B32" s="33">
        <f>IF(ISERROR(TER_rest_ele_kWh/1000),0,TER_rest_ele_kWh/1000)</f>
        <v>15587.427402000001</v>
      </c>
      <c r="C32" s="39">
        <f>IF(ISERROR(B32*3.6/1000000/'E Balans VL '!Z8*100),0,B32*3.6/1000000/'E Balans VL '!Z8*100)</f>
        <v>0.12924147849865239</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54055.982153610006</v>
      </c>
      <c r="C5" s="17">
        <f>IF(ISERROR('Eigen informatie GS &amp; warmtenet'!B59),0,'Eigen informatie GS &amp; warmtenet'!B59)</f>
        <v>0</v>
      </c>
      <c r="D5" s="30">
        <f>SUM(D6:D15)</f>
        <v>36625.176379713463</v>
      </c>
      <c r="E5" s="17">
        <f>SUM(E6:E15)</f>
        <v>5466.0785565897268</v>
      </c>
      <c r="F5" s="17">
        <f>SUM(F6:F15)</f>
        <v>19099.485243083742</v>
      </c>
      <c r="G5" s="18"/>
      <c r="H5" s="17"/>
      <c r="I5" s="17"/>
      <c r="J5" s="17">
        <f>SUM(J6:J15)</f>
        <v>104.12245656202695</v>
      </c>
      <c r="K5" s="17"/>
      <c r="L5" s="17"/>
      <c r="M5" s="17"/>
      <c r="N5" s="17">
        <f>SUM(N6:N15)</f>
        <v>2974.4561647632499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539.83823656999994</v>
      </c>
      <c r="C8" s="33"/>
      <c r="D8" s="37">
        <f>IF( ISERROR(IND_metaal_Gas_kWH/1000),0,IND_metaal_Gas_kWH/1000)*0.902</f>
        <v>294.61758253025999</v>
      </c>
      <c r="E8" s="33">
        <f>C30*'E Balans VL '!I18/100/3.6*1000000</f>
        <v>19.425012873160263</v>
      </c>
      <c r="F8" s="33">
        <f>C30*'E Balans VL '!L18/100/3.6*1000000+C30*'E Balans VL '!N18/100/3.6*1000000</f>
        <v>235.72985823727694</v>
      </c>
      <c r="G8" s="34"/>
      <c r="H8" s="33"/>
      <c r="I8" s="33"/>
      <c r="J8" s="40">
        <f>C30*'E Balans VL '!D18/100/3.6*1000000+C30*'E Balans VL '!E18/100/3.6*1000000</f>
        <v>0</v>
      </c>
      <c r="K8" s="33"/>
      <c r="L8" s="33"/>
      <c r="M8" s="33"/>
      <c r="N8" s="33">
        <f>C30*'E Balans VL '!Y18/100/3.6*1000000</f>
        <v>27.056325557934422</v>
      </c>
      <c r="O8" s="33"/>
      <c r="P8" s="33"/>
      <c r="R8" s="32"/>
    </row>
    <row r="9" spans="1:18">
      <c r="A9" s="6" t="s">
        <v>32</v>
      </c>
      <c r="B9" s="37">
        <f t="shared" si="0"/>
        <v>18821.030664000002</v>
      </c>
      <c r="C9" s="33"/>
      <c r="D9" s="37">
        <f>IF( ISERROR(IND_andere_gas_kWh/1000),0,IND_andere_gas_kWh/1000)*0.902</f>
        <v>2011.3168832679999</v>
      </c>
      <c r="E9" s="33">
        <f>C31*'E Balans VL '!I19/100/3.6*1000000</f>
        <v>4802.7011877067553</v>
      </c>
      <c r="F9" s="33">
        <f>C31*'E Balans VL '!L19/100/3.6*1000000+C31*'E Balans VL '!N19/100/3.6*1000000</f>
        <v>16203.492758042676</v>
      </c>
      <c r="G9" s="34"/>
      <c r="H9" s="33"/>
      <c r="I9" s="33"/>
      <c r="J9" s="40">
        <f>C31*'E Balans VL '!D19/100/3.6*1000000+C31*'E Balans VL '!E19/100/3.6*1000000</f>
        <v>0</v>
      </c>
      <c r="K9" s="33"/>
      <c r="L9" s="33"/>
      <c r="M9" s="33"/>
      <c r="N9" s="33">
        <f>C31*'E Balans VL '!Y19/100/3.6*1000000</f>
        <v>1484.7590810282934</v>
      </c>
      <c r="O9" s="33"/>
      <c r="P9" s="33"/>
      <c r="R9" s="32"/>
    </row>
    <row r="10" spans="1:18">
      <c r="A10" s="6" t="s">
        <v>40</v>
      </c>
      <c r="B10" s="37">
        <f t="shared" si="0"/>
        <v>877.04471351999996</v>
      </c>
      <c r="C10" s="33"/>
      <c r="D10" s="37">
        <f>IF( ISERROR(IND_voed_gas_kWh/1000),0,IND_voed_gas_kWh/1000)*0.902</f>
        <v>960.29344990920004</v>
      </c>
      <c r="E10" s="33">
        <f>C32*'E Balans VL '!I20/100/3.6*1000000</f>
        <v>22.295680898758864</v>
      </c>
      <c r="F10" s="33">
        <f>C32*'E Balans VL '!L20/100/3.6*1000000+C32*'E Balans VL '!N20/100/3.6*1000000</f>
        <v>198.46205309302601</v>
      </c>
      <c r="G10" s="34"/>
      <c r="H10" s="33"/>
      <c r="I10" s="33"/>
      <c r="J10" s="40">
        <f>C32*'E Balans VL '!D20/100/3.6*1000000+C32*'E Balans VL '!E20/100/3.6*1000000</f>
        <v>0</v>
      </c>
      <c r="K10" s="33"/>
      <c r="L10" s="33"/>
      <c r="M10" s="33"/>
      <c r="N10" s="33">
        <f>C32*'E Balans VL '!Y20/100/3.6*1000000</f>
        <v>328.91554080204816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294.67940851999998</v>
      </c>
      <c r="C13" s="33"/>
      <c r="D13" s="37">
        <f>IF( ISERROR(IND_papier_gas_kWh/1000),0,IND_papier_gas_kWh/1000)*0.902</f>
        <v>0</v>
      </c>
      <c r="E13" s="33">
        <f>C35*'E Balans VL '!I23/100/3.6*1000000</f>
        <v>1.2637942556618895</v>
      </c>
      <c r="F13" s="33">
        <f>C35*'E Balans VL '!L23/100/3.6*1000000+C35*'E Balans VL '!N23/100/3.6*1000000</f>
        <v>7.4062081627664744</v>
      </c>
      <c r="G13" s="34"/>
      <c r="H13" s="33"/>
      <c r="I13" s="33"/>
      <c r="J13" s="40">
        <f>C35*'E Balans VL '!D23/100/3.6*1000000+C35*'E Balans VL '!E23/100/3.6*1000000</f>
        <v>19.727170150344268</v>
      </c>
      <c r="K13" s="33"/>
      <c r="L13" s="33"/>
      <c r="M13" s="33"/>
      <c r="N13" s="33">
        <f>C35*'E Balans VL '!Y23/100/3.6*1000000</f>
        <v>71.861596392414896</v>
      </c>
      <c r="O13" s="33"/>
      <c r="P13" s="33"/>
      <c r="R13" s="32"/>
    </row>
    <row r="14" spans="1:18">
      <c r="A14" s="6" t="s">
        <v>33</v>
      </c>
      <c r="B14" s="37">
        <f t="shared" si="0"/>
        <v>23113.362793</v>
      </c>
      <c r="C14" s="33"/>
      <c r="D14" s="37">
        <f>IF( ISERROR(IND_chemie_gas_kWh/1000),0,IND_chemie_gas_kWh/1000)*0.902</f>
        <v>23528.570594188001</v>
      </c>
      <c r="E14" s="33">
        <f>C36*'E Balans VL '!I24/100/3.6*1000000</f>
        <v>55.410666892541833</v>
      </c>
      <c r="F14" s="33">
        <f>C36*'E Balans VL '!L24/100/3.6*1000000+C36*'E Balans VL '!N24/100/3.6*1000000</f>
        <v>185.4899647542355</v>
      </c>
      <c r="G14" s="34"/>
      <c r="H14" s="33"/>
      <c r="I14" s="33"/>
      <c r="J14" s="40">
        <f>C36*'E Balans VL '!D24/100/3.6*1000000+C36*'E Balans VL '!E24/100/3.6*1000000</f>
        <v>0</v>
      </c>
      <c r="K14" s="33"/>
      <c r="L14" s="33"/>
      <c r="M14" s="33"/>
      <c r="N14" s="33">
        <f>C36*'E Balans VL '!Y24/100/3.6*1000000</f>
        <v>477.73529004769682</v>
      </c>
      <c r="O14" s="33"/>
      <c r="P14" s="33"/>
      <c r="R14" s="32"/>
    </row>
    <row r="15" spans="1:18">
      <c r="A15" s="6" t="s">
        <v>269</v>
      </c>
      <c r="B15" s="37">
        <f t="shared" si="0"/>
        <v>10410.026338</v>
      </c>
      <c r="C15" s="33"/>
      <c r="D15" s="37">
        <f>IF( ISERROR(IND_rest_gas_kWh/1000),0,IND_rest_gas_kWh/1000)*0.902</f>
        <v>9830.3778698179995</v>
      </c>
      <c r="E15" s="33">
        <f>C37*'E Balans VL '!I15/100/3.6*1000000</f>
        <v>564.98221396284839</v>
      </c>
      <c r="F15" s="33">
        <f>C37*'E Balans VL '!L15/100/3.6*1000000+C37*'E Balans VL '!N15/100/3.6*1000000</f>
        <v>2268.9044007937605</v>
      </c>
      <c r="G15" s="34"/>
      <c r="H15" s="33"/>
      <c r="I15" s="33"/>
      <c r="J15" s="40">
        <f>C37*'E Balans VL '!D15/100/3.6*1000000+C37*'E Balans VL '!E15/100/3.6*1000000</f>
        <v>84.39528641168269</v>
      </c>
      <c r="K15" s="33"/>
      <c r="L15" s="33"/>
      <c r="M15" s="33"/>
      <c r="N15" s="33">
        <f>C37*'E Balans VL '!Y15/100/3.6*1000000</f>
        <v>584.12833093486256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54055.982153610006</v>
      </c>
      <c r="C18" s="21">
        <f>C5+C16</f>
        <v>0</v>
      </c>
      <c r="D18" s="21">
        <f>MAX((D5+D16),0)</f>
        <v>36625.176379713463</v>
      </c>
      <c r="E18" s="21">
        <f>MAX((E5+E16),0)</f>
        <v>5466.0785565897268</v>
      </c>
      <c r="F18" s="21">
        <f>MAX((F5+F16),0)</f>
        <v>19099.485243083742</v>
      </c>
      <c r="G18" s="21"/>
      <c r="H18" s="21"/>
      <c r="I18" s="21"/>
      <c r="J18" s="21">
        <f>MAX((J5+J16),0)</f>
        <v>104.12245656202695</v>
      </c>
      <c r="K18" s="21"/>
      <c r="L18" s="21">
        <f>MAX((L5+L16),0)</f>
        <v>0</v>
      </c>
      <c r="M18" s="21"/>
      <c r="N18" s="21">
        <f>MAX((N5+N16),0)</f>
        <v>2974.4561647632499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0.20577345277913842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11123.286091115817</v>
      </c>
      <c r="C22" s="23">
        <f ca="1">C18*C20</f>
        <v>0</v>
      </c>
      <c r="D22" s="23">
        <f>D18*D20</f>
        <v>7398.2856287021195</v>
      </c>
      <c r="E22" s="23">
        <f>E18*E20</f>
        <v>1240.799832345868</v>
      </c>
      <c r="F22" s="23">
        <f>F18*F20</f>
        <v>5099.5625599033592</v>
      </c>
      <c r="G22" s="23"/>
      <c r="H22" s="23"/>
      <c r="I22" s="23"/>
      <c r="J22" s="23">
        <f>J18*J20</f>
        <v>36.859349622957538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539.83823656999994</v>
      </c>
      <c r="C30" s="39">
        <f>IF(ISERROR(B30*3.6/1000000/'E Balans VL '!Z18*100),0,B30*3.6/1000000/'E Balans VL '!Z18*100)</f>
        <v>0.11438014850242541</v>
      </c>
      <c r="D30" s="237" t="s">
        <v>659</v>
      </c>
    </row>
    <row r="31" spans="1:18">
      <c r="A31" s="6" t="s">
        <v>32</v>
      </c>
      <c r="B31" s="37">
        <f>IF( ISERROR(IND_ander_ele_kWh/1000),0,IND_ander_ele_kWh/1000)</f>
        <v>18821.030664000002</v>
      </c>
      <c r="C31" s="39">
        <f>IF(ISERROR(B31*3.6/1000000/'E Balans VL '!Z19*100),0,B31*3.6/1000000/'E Balans VL '!Z19*100)</f>
        <v>0.7922199169059162</v>
      </c>
      <c r="D31" s="237" t="s">
        <v>659</v>
      </c>
    </row>
    <row r="32" spans="1:18">
      <c r="A32" s="171" t="s">
        <v>40</v>
      </c>
      <c r="B32" s="37">
        <f>IF( ISERROR(IND_voed_ele_kWh/1000),0,IND_voed_ele_kWh/1000)</f>
        <v>877.04471351999996</v>
      </c>
      <c r="C32" s="39">
        <f>IF(ISERROR(B32*3.6/1000000/'E Balans VL '!Z20*100),0,B32*3.6/1000000/'E Balans VL '!Z20*100)</f>
        <v>0.14652024247197315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294.67940851999998</v>
      </c>
      <c r="C35" s="39">
        <f>IF(ISERROR(B35*3.6/1000000/'E Balans VL '!Z22*100),0,B35*3.6/1000000/'E Balans VL '!Z22*100)</f>
        <v>3.7352204231266506E-2</v>
      </c>
      <c r="D35" s="237" t="s">
        <v>659</v>
      </c>
    </row>
    <row r="36" spans="1:5">
      <c r="A36" s="171" t="s">
        <v>33</v>
      </c>
      <c r="B36" s="37">
        <f>IF( ISERROR(IND_chemie_ele_kWh/1000),0,IND_chemie_ele_kWh/1000)</f>
        <v>23113.362793</v>
      </c>
      <c r="C36" s="39">
        <f>IF(ISERROR(B36*3.6/1000000/'E Balans VL '!Z24*100),0,B36*3.6/1000000/'E Balans VL '!Z24*100)</f>
        <v>0.75072276886984868</v>
      </c>
      <c r="D36" s="237" t="s">
        <v>659</v>
      </c>
    </row>
    <row r="37" spans="1:5">
      <c r="A37" s="171" t="s">
        <v>269</v>
      </c>
      <c r="B37" s="37">
        <f>IF( ISERROR(IND_rest_ele_kWh/1000),0,IND_rest_ele_kWh/1000)</f>
        <v>10410.026338</v>
      </c>
      <c r="C37" s="39">
        <f>IF(ISERROR(B37*3.6/1000000/'E Balans VL '!Z15*100),0,B37*3.6/1000000/'E Balans VL '!Z15*100)</f>
        <v>8.4044173573625466E-2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1915.6638815399999</v>
      </c>
      <c r="C5" s="17">
        <f>'Eigen informatie GS &amp; warmtenet'!B60</f>
        <v>0</v>
      </c>
      <c r="D5" s="30">
        <f>IF(ISERROR(SUM(LB_lb_gas_kWh,LB_rest_gas_kWh)/1000),0,SUM(LB_lb_gas_kWh,LB_rest_gas_kWh)/1000)*0.902</f>
        <v>1217.6992150796</v>
      </c>
      <c r="E5" s="17">
        <f>B17*'E Balans VL '!I25/3.6*1000000/100</f>
        <v>49.397616205992584</v>
      </c>
      <c r="F5" s="17">
        <f>B17*('E Balans VL '!L25/3.6*1000000+'E Balans VL '!N25/3.6*1000000)/100</f>
        <v>7002.1163074930046</v>
      </c>
      <c r="G5" s="18"/>
      <c r="H5" s="17"/>
      <c r="I5" s="17"/>
      <c r="J5" s="17">
        <f>('E Balans VL '!D25+'E Balans VL '!E25)/3.6*1000000*landbouw!B17/100</f>
        <v>275.78512807148053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1915.6638815399999</v>
      </c>
      <c r="C8" s="21">
        <f>C5+C6</f>
        <v>0</v>
      </c>
      <c r="D8" s="21">
        <f>MAX((D5+D6),0)</f>
        <v>1217.6992150796</v>
      </c>
      <c r="E8" s="21">
        <f>MAX((E5+E6),0)</f>
        <v>49.397616205992584</v>
      </c>
      <c r="F8" s="21">
        <f>MAX((F5+F6),0)</f>
        <v>7002.1163074930046</v>
      </c>
      <c r="G8" s="21"/>
      <c r="H8" s="21"/>
      <c r="I8" s="21"/>
      <c r="J8" s="21">
        <f>MAX((J5+J6),0)</f>
        <v>275.78512807148053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0.20577345277913842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394.19277126877216</v>
      </c>
      <c r="C12" s="23">
        <f ca="1">C8*C10</f>
        <v>0</v>
      </c>
      <c r="D12" s="23">
        <f>D8*D10</f>
        <v>245.97524144607922</v>
      </c>
      <c r="E12" s="23">
        <f>E8*E10</f>
        <v>11.213258878760318</v>
      </c>
      <c r="F12" s="23">
        <f>F8*F10</f>
        <v>1869.5650541006323</v>
      </c>
      <c r="G12" s="23"/>
      <c r="H12" s="23"/>
      <c r="I12" s="23"/>
      <c r="J12" s="23">
        <f>J8*J10</f>
        <v>97.627935337304109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0.27012129637016585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424.79766097304679</v>
      </c>
      <c r="C26" s="247">
        <f>B26*'GWP N2O_CH4'!B5</f>
        <v>8920.7508804339832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82.266546199134353</v>
      </c>
      <c r="C27" s="247">
        <f>B27*'GWP N2O_CH4'!B5</f>
        <v>1727.5974701818213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5.9904002168460213</v>
      </c>
      <c r="C28" s="247">
        <f>B28*'GWP N2O_CH4'!B4</f>
        <v>1857.0240672222667</v>
      </c>
      <c r="D28" s="50"/>
    </row>
    <row r="29" spans="1:4">
      <c r="A29" s="41" t="s">
        <v>276</v>
      </c>
      <c r="B29" s="247">
        <f>B34*'ha_N2O bodem landbouw'!B4</f>
        <v>22.984492748911336</v>
      </c>
      <c r="C29" s="247">
        <f>B29*'GWP N2O_CH4'!B4</f>
        <v>7125.1927521625139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5.1727598821740784E-3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1.8789235673916823E-4</v>
      </c>
      <c r="C5" s="437" t="s">
        <v>210</v>
      </c>
      <c r="D5" s="422">
        <f>SUM(D6:D11)</f>
        <v>3.8258017892494093E-4</v>
      </c>
      <c r="E5" s="422">
        <f>SUM(E6:E11)</f>
        <v>1.7038282605439377E-3</v>
      </c>
      <c r="F5" s="435" t="s">
        <v>210</v>
      </c>
      <c r="G5" s="422">
        <f>SUM(G6:G11)</f>
        <v>0.55558277572182557</v>
      </c>
      <c r="H5" s="422">
        <f>SUM(H6:H11)</f>
        <v>0.13032954945550451</v>
      </c>
      <c r="I5" s="437" t="s">
        <v>210</v>
      </c>
      <c r="J5" s="437" t="s">
        <v>210</v>
      </c>
      <c r="K5" s="437" t="s">
        <v>210</v>
      </c>
      <c r="L5" s="437" t="s">
        <v>210</v>
      </c>
      <c r="M5" s="422">
        <f>SUM(M6:M11)</f>
        <v>2.1384626902225277E-2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1.5311149820185284E-4</v>
      </c>
      <c r="C6" s="423"/>
      <c r="D6" s="865">
        <f>vkm_GW_PW*SUMIFS(TableVerdeelsleutelVkm[CNG],TableVerdeelsleutelVkm[Voertuigtype],"Lichte voertuigen")*SUMIFS(TableECFTransport[EnergieConsumptieFactor (PJ per km)],TableECFTransport[Index],CONCATENATE($A6,"_CNG_CNG"))</f>
        <v>2.7601052594838948E-4</v>
      </c>
      <c r="E6" s="865">
        <f>vkm_GW_PW*SUMIFS(TableVerdeelsleutelVkm[LPG],TableVerdeelsleutelVkm[Voertuigtype],"Lichte voertuigen")*SUMIFS(TableECFTransport[EnergieConsumptieFactor (PJ per km)],TableECFTransport[Index],CONCATENATE($A6,"_LPG_LPG"))</f>
        <v>1.2468572039405661E-3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0.34063968624096741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9.4769542887774991E-2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1.3556810208602613E-2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8.2464894277573406E-2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1.4880637783766485E-6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2.5943501966799332E-3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3.47808585373154E-5</v>
      </c>
      <c r="C8" s="423"/>
      <c r="D8" s="425">
        <f>vkm_NGW_PW*SUMIFS(TableVerdeelsleutelVkm[CNG],TableVerdeelsleutelVkm[Voertuigtype],"Lichte voertuigen")*SUMIFS(TableECFTransport[EnergieConsumptieFactor (PJ per km)],TableECFTransport[Index],CONCATENATE($A8,"_CNG_CNG"))</f>
        <v>1.0656965297655144E-4</v>
      </c>
      <c r="E8" s="425">
        <f>vkm_NGW_PW*SUMIFS(TableVerdeelsleutelVkm[LPG],TableVerdeelsleutelVkm[Voertuigtype],"Lichte voertuigen")*SUMIFS(TableECFTransport[EnergieConsumptieFactor (PJ per km)],TableECFTransport[Index],CONCATENATE($A8,"_LPG_LPG"))</f>
        <v>4.5697105660337143E-4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0.11722343798619496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3.5558178695190949E-2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4.7535490453724143E-3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1.5254757217089817E-2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3.3980876018180744E-7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4.7991745157031722E-4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52.192321316435617</v>
      </c>
      <c r="C14" s="21"/>
      <c r="D14" s="21">
        <f t="shared" ref="D14:M14" si="0">((D5)*10^9/3600)+D12</f>
        <v>106.2722719235947</v>
      </c>
      <c r="E14" s="21">
        <f t="shared" si="0"/>
        <v>473.28562792887152</v>
      </c>
      <c r="F14" s="21"/>
      <c r="G14" s="21">
        <f t="shared" si="0"/>
        <v>154328.54881161821</v>
      </c>
      <c r="H14" s="21">
        <f t="shared" si="0"/>
        <v>36202.65262652903</v>
      </c>
      <c r="I14" s="21"/>
      <c r="J14" s="21"/>
      <c r="K14" s="21"/>
      <c r="L14" s="21"/>
      <c r="M14" s="21">
        <f t="shared" si="0"/>
        <v>5940.1741395070221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0.20577345277913842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10.739794165841184</v>
      </c>
      <c r="C18" s="23"/>
      <c r="D18" s="23">
        <f t="shared" ref="D18:M18" si="1">D14*D16</f>
        <v>21.466998928566131</v>
      </c>
      <c r="E18" s="23">
        <f t="shared" si="1"/>
        <v>107.43583753985384</v>
      </c>
      <c r="F18" s="23"/>
      <c r="G18" s="23">
        <f t="shared" si="1"/>
        <v>41205.722532702064</v>
      </c>
      <c r="H18" s="23">
        <f t="shared" si="1"/>
        <v>9014.4605040057286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9.3467523862625895E-3</v>
      </c>
      <c r="H50" s="319">
        <f t="shared" si="2"/>
        <v>0</v>
      </c>
      <c r="I50" s="319">
        <f t="shared" si="2"/>
        <v>0</v>
      </c>
      <c r="J50" s="319">
        <f t="shared" si="2"/>
        <v>0</v>
      </c>
      <c r="K50" s="319">
        <f t="shared" si="2"/>
        <v>0</v>
      </c>
      <c r="L50" s="319">
        <f t="shared" si="2"/>
        <v>0</v>
      </c>
      <c r="M50" s="319">
        <f t="shared" si="2"/>
        <v>2.8954936913445873E-4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9.3467523862625895E-3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2.8954936913445873E-4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2596.3201072951638</v>
      </c>
      <c r="H54" s="21">
        <f t="shared" si="3"/>
        <v>0</v>
      </c>
      <c r="I54" s="21">
        <f t="shared" si="3"/>
        <v>0</v>
      </c>
      <c r="J54" s="21">
        <f t="shared" si="3"/>
        <v>0</v>
      </c>
      <c r="K54" s="21">
        <f t="shared" si="3"/>
        <v>0</v>
      </c>
      <c r="L54" s="21">
        <f t="shared" si="3"/>
        <v>0</v>
      </c>
      <c r="M54" s="21">
        <f t="shared" si="3"/>
        <v>80.430380315127422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0.20577345277913842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693.2174686478088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51934.70941417</v>
      </c>
      <c r="D10" s="978">
        <f ca="1">tertiair!C16</f>
        <v>0</v>
      </c>
      <c r="E10" s="978">
        <f ca="1">tertiair!D16</f>
        <v>51965.974963852408</v>
      </c>
      <c r="F10" s="978">
        <f>tertiair!E16</f>
        <v>967.34381022234436</v>
      </c>
      <c r="G10" s="978">
        <f ca="1">tertiair!F16</f>
        <v>12364.005452485555</v>
      </c>
      <c r="H10" s="978">
        <f>tertiair!G16</f>
        <v>0</v>
      </c>
      <c r="I10" s="978">
        <f>tertiair!H16</f>
        <v>0</v>
      </c>
      <c r="J10" s="978">
        <f>tertiair!I16</f>
        <v>0</v>
      </c>
      <c r="K10" s="978">
        <f>tertiair!J16</f>
        <v>0</v>
      </c>
      <c r="L10" s="978">
        <f>tertiair!K16</f>
        <v>0</v>
      </c>
      <c r="M10" s="978">
        <f ca="1">tertiair!L16</f>
        <v>0</v>
      </c>
      <c r="N10" s="978">
        <f>tertiair!M16</f>
        <v>0</v>
      </c>
      <c r="O10" s="978">
        <f ca="1">tertiair!N16</f>
        <v>4965.3932454946444</v>
      </c>
      <c r="P10" s="978">
        <f>tertiair!O16</f>
        <v>9.3800000000000008</v>
      </c>
      <c r="Q10" s="979">
        <f>tertiair!P16</f>
        <v>38.133333333333333</v>
      </c>
      <c r="R10" s="674">
        <f ca="1">SUM(C10:Q10)</f>
        <v>122244.9402195583</v>
      </c>
      <c r="S10" s="67"/>
    </row>
    <row r="11" spans="1:19" s="447" customFormat="1">
      <c r="A11" s="783" t="s">
        <v>224</v>
      </c>
      <c r="B11" s="788"/>
      <c r="C11" s="978">
        <f>huishoudens!B8</f>
        <v>72833.39060523943</v>
      </c>
      <c r="D11" s="978">
        <f>huishoudens!C8</f>
        <v>0</v>
      </c>
      <c r="E11" s="978">
        <f>huishoudens!D8</f>
        <v>132951.74155992089</v>
      </c>
      <c r="F11" s="978">
        <f>huishoudens!E8</f>
        <v>57165.680446767692</v>
      </c>
      <c r="G11" s="978">
        <f>huishoudens!F8</f>
        <v>80223.978757055098</v>
      </c>
      <c r="H11" s="978">
        <f>huishoudens!G8</f>
        <v>0</v>
      </c>
      <c r="I11" s="978">
        <f>huishoudens!H8</f>
        <v>0</v>
      </c>
      <c r="J11" s="978">
        <f>huishoudens!I8</f>
        <v>0</v>
      </c>
      <c r="K11" s="978">
        <f>huishoudens!J8</f>
        <v>493.12545005842384</v>
      </c>
      <c r="L11" s="978">
        <f>huishoudens!K8</f>
        <v>0</v>
      </c>
      <c r="M11" s="978">
        <f>huishoudens!L8</f>
        <v>0</v>
      </c>
      <c r="N11" s="978">
        <f>huishoudens!M8</f>
        <v>0</v>
      </c>
      <c r="O11" s="978">
        <f>huishoudens!N8</f>
        <v>36284.340030407257</v>
      </c>
      <c r="P11" s="978">
        <f>huishoudens!O8</f>
        <v>572.18000000000006</v>
      </c>
      <c r="Q11" s="979">
        <f>huishoudens!P8</f>
        <v>2802.8</v>
      </c>
      <c r="R11" s="674">
        <f>SUM(C11:Q11)</f>
        <v>383327.23684944876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54055.982153610006</v>
      </c>
      <c r="D13" s="978">
        <f>industrie!C18</f>
        <v>0</v>
      </c>
      <c r="E13" s="978">
        <f>industrie!D18</f>
        <v>36625.176379713463</v>
      </c>
      <c r="F13" s="978">
        <f>industrie!E18</f>
        <v>5466.0785565897268</v>
      </c>
      <c r="G13" s="978">
        <f>industrie!F18</f>
        <v>19099.485243083742</v>
      </c>
      <c r="H13" s="978">
        <f>industrie!G18</f>
        <v>0</v>
      </c>
      <c r="I13" s="978">
        <f>industrie!H18</f>
        <v>0</v>
      </c>
      <c r="J13" s="978">
        <f>industrie!I18</f>
        <v>0</v>
      </c>
      <c r="K13" s="978">
        <f>industrie!J18</f>
        <v>104.12245656202695</v>
      </c>
      <c r="L13" s="978">
        <f>industrie!K18</f>
        <v>0</v>
      </c>
      <c r="M13" s="978">
        <f>industrie!L18</f>
        <v>0</v>
      </c>
      <c r="N13" s="978">
        <f>industrie!M18</f>
        <v>0</v>
      </c>
      <c r="O13" s="978">
        <f>industrie!N18</f>
        <v>2974.4561647632499</v>
      </c>
      <c r="P13" s="978">
        <f>industrie!O18</f>
        <v>0</v>
      </c>
      <c r="Q13" s="979">
        <f>industrie!P18</f>
        <v>0</v>
      </c>
      <c r="R13" s="674">
        <f>SUM(C13:Q13)</f>
        <v>118325.3009543222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178824.08217301944</v>
      </c>
      <c r="D16" s="706">
        <f t="shared" ref="D16:R16" ca="1" si="0">SUM(D9:D15)</f>
        <v>0</v>
      </c>
      <c r="E16" s="706">
        <f t="shared" ca="1" si="0"/>
        <v>221542.89290348676</v>
      </c>
      <c r="F16" s="706">
        <f t="shared" si="0"/>
        <v>63599.102813579761</v>
      </c>
      <c r="G16" s="706">
        <f t="shared" ca="1" si="0"/>
        <v>111687.46945262438</v>
      </c>
      <c r="H16" s="706">
        <f t="shared" si="0"/>
        <v>0</v>
      </c>
      <c r="I16" s="706">
        <f t="shared" si="0"/>
        <v>0</v>
      </c>
      <c r="J16" s="706">
        <f t="shared" si="0"/>
        <v>0</v>
      </c>
      <c r="K16" s="706">
        <f t="shared" si="0"/>
        <v>597.24790662045075</v>
      </c>
      <c r="L16" s="706">
        <f t="shared" si="0"/>
        <v>0</v>
      </c>
      <c r="M16" s="706">
        <f t="shared" ca="1" si="0"/>
        <v>0</v>
      </c>
      <c r="N16" s="706">
        <f t="shared" si="0"/>
        <v>0</v>
      </c>
      <c r="O16" s="706">
        <f t="shared" ca="1" si="0"/>
        <v>44224.189440665155</v>
      </c>
      <c r="P16" s="706">
        <f t="shared" si="0"/>
        <v>581.56000000000006</v>
      </c>
      <c r="Q16" s="706">
        <f t="shared" si="0"/>
        <v>2840.9333333333334</v>
      </c>
      <c r="R16" s="706">
        <f t="shared" ca="1" si="0"/>
        <v>623897.47802332928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2596.3201072951638</v>
      </c>
      <c r="I19" s="978">
        <f>transport!H54</f>
        <v>0</v>
      </c>
      <c r="J19" s="978">
        <f>transport!I54</f>
        <v>0</v>
      </c>
      <c r="K19" s="978">
        <f>transport!J54</f>
        <v>0</v>
      </c>
      <c r="L19" s="978">
        <f>transport!K54</f>
        <v>0</v>
      </c>
      <c r="M19" s="978">
        <f>transport!L54</f>
        <v>0</v>
      </c>
      <c r="N19" s="978">
        <f>transport!M54</f>
        <v>80.430380315127422</v>
      </c>
      <c r="O19" s="978">
        <f>transport!N54</f>
        <v>0</v>
      </c>
      <c r="P19" s="978">
        <f>transport!O54</f>
        <v>0</v>
      </c>
      <c r="Q19" s="979">
        <f>transport!P54</f>
        <v>0</v>
      </c>
      <c r="R19" s="674">
        <f>SUM(C19:Q19)</f>
        <v>2676.7504876102912</v>
      </c>
      <c r="S19" s="67"/>
    </row>
    <row r="20" spans="1:19" s="447" customFormat="1">
      <c r="A20" s="783" t="s">
        <v>306</v>
      </c>
      <c r="B20" s="788"/>
      <c r="C20" s="978">
        <f>transport!B14</f>
        <v>52.192321316435617</v>
      </c>
      <c r="D20" s="978">
        <f>transport!C14</f>
        <v>0</v>
      </c>
      <c r="E20" s="978">
        <f>transport!D14</f>
        <v>106.2722719235947</v>
      </c>
      <c r="F20" s="978">
        <f>transport!E14</f>
        <v>473.28562792887152</v>
      </c>
      <c r="G20" s="978">
        <f>transport!F14</f>
        <v>0</v>
      </c>
      <c r="H20" s="978">
        <f>transport!G14</f>
        <v>154328.54881161821</v>
      </c>
      <c r="I20" s="978">
        <f>transport!H14</f>
        <v>36202.65262652903</v>
      </c>
      <c r="J20" s="978">
        <f>transport!I14</f>
        <v>0</v>
      </c>
      <c r="K20" s="978">
        <f>transport!J14</f>
        <v>0</v>
      </c>
      <c r="L20" s="978">
        <f>transport!K14</f>
        <v>0</v>
      </c>
      <c r="M20" s="978">
        <f>transport!L14</f>
        <v>0</v>
      </c>
      <c r="N20" s="978">
        <f>transport!M14</f>
        <v>5940.1741395070221</v>
      </c>
      <c r="O20" s="978">
        <f>transport!N14</f>
        <v>0</v>
      </c>
      <c r="P20" s="978">
        <f>transport!O14</f>
        <v>0</v>
      </c>
      <c r="Q20" s="979">
        <f>transport!P14</f>
        <v>0</v>
      </c>
      <c r="R20" s="674">
        <f>SUM(C20:Q20)</f>
        <v>197103.12579882317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52.192321316435617</v>
      </c>
      <c r="D22" s="786">
        <f t="shared" ref="D22:R22" si="1">SUM(D18:D21)</f>
        <v>0</v>
      </c>
      <c r="E22" s="786">
        <f t="shared" si="1"/>
        <v>106.2722719235947</v>
      </c>
      <c r="F22" s="786">
        <f t="shared" si="1"/>
        <v>473.28562792887152</v>
      </c>
      <c r="G22" s="786">
        <f t="shared" si="1"/>
        <v>0</v>
      </c>
      <c r="H22" s="786">
        <f t="shared" si="1"/>
        <v>156924.86891891339</v>
      </c>
      <c r="I22" s="786">
        <f t="shared" si="1"/>
        <v>36202.65262652903</v>
      </c>
      <c r="J22" s="786">
        <f t="shared" si="1"/>
        <v>0</v>
      </c>
      <c r="K22" s="786">
        <f t="shared" si="1"/>
        <v>0</v>
      </c>
      <c r="L22" s="786">
        <f t="shared" si="1"/>
        <v>0</v>
      </c>
      <c r="M22" s="786">
        <f t="shared" si="1"/>
        <v>0</v>
      </c>
      <c r="N22" s="786">
        <f t="shared" si="1"/>
        <v>6020.6045198221491</v>
      </c>
      <c r="O22" s="786">
        <f t="shared" si="1"/>
        <v>0</v>
      </c>
      <c r="P22" s="786">
        <f t="shared" si="1"/>
        <v>0</v>
      </c>
      <c r="Q22" s="786">
        <f t="shared" si="1"/>
        <v>0</v>
      </c>
      <c r="R22" s="786">
        <f t="shared" si="1"/>
        <v>199779.87628643346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1915.6638815399999</v>
      </c>
      <c r="D24" s="978">
        <f>+landbouw!C8</f>
        <v>0</v>
      </c>
      <c r="E24" s="978">
        <f>+landbouw!D8</f>
        <v>1217.6992150796</v>
      </c>
      <c r="F24" s="978">
        <f>+landbouw!E8</f>
        <v>49.397616205992584</v>
      </c>
      <c r="G24" s="978">
        <f>+landbouw!F8</f>
        <v>7002.1163074930046</v>
      </c>
      <c r="H24" s="978">
        <f>+landbouw!G8</f>
        <v>0</v>
      </c>
      <c r="I24" s="978">
        <f>+landbouw!H8</f>
        <v>0</v>
      </c>
      <c r="J24" s="978">
        <f>+landbouw!I8</f>
        <v>0</v>
      </c>
      <c r="K24" s="978">
        <f>+landbouw!J8</f>
        <v>275.78512807148053</v>
      </c>
      <c r="L24" s="978">
        <f>+landbouw!K8</f>
        <v>0</v>
      </c>
      <c r="M24" s="978">
        <f>+landbouw!L8</f>
        <v>0</v>
      </c>
      <c r="N24" s="978">
        <f>+landbouw!M8</f>
        <v>0</v>
      </c>
      <c r="O24" s="978">
        <f>+landbouw!N8</f>
        <v>0</v>
      </c>
      <c r="P24" s="978">
        <f>+landbouw!O8</f>
        <v>0</v>
      </c>
      <c r="Q24" s="979">
        <f>+landbouw!P8</f>
        <v>0</v>
      </c>
      <c r="R24" s="674">
        <f>SUM(C24:Q24)</f>
        <v>10460.662148390076</v>
      </c>
      <c r="S24" s="67"/>
    </row>
    <row r="25" spans="1:19" s="447" customFormat="1" ht="15" thickBot="1">
      <c r="A25" s="805" t="s">
        <v>834</v>
      </c>
      <c r="B25" s="981"/>
      <c r="C25" s="982">
        <f>IF(Onbekend_ele_kWh="---",0,Onbekend_ele_kWh)/1000+IF(REST_rest_ele_kWh="---",0,REST_rest_ele_kWh)/1000</f>
        <v>2187.6081515999999</v>
      </c>
      <c r="D25" s="982"/>
      <c r="E25" s="982">
        <f>IF(onbekend_gas_kWh="---",0,onbekend_gas_kWh)/1000+IF(REST_rest_gas_kWh="---",0,REST_rest_gas_kWh)/1000</f>
        <v>5333.2126453000001</v>
      </c>
      <c r="F25" s="982"/>
      <c r="G25" s="982"/>
      <c r="H25" s="982"/>
      <c r="I25" s="982"/>
      <c r="J25" s="982"/>
      <c r="K25" s="982"/>
      <c r="L25" s="982"/>
      <c r="M25" s="982"/>
      <c r="N25" s="982"/>
      <c r="O25" s="982"/>
      <c r="P25" s="982"/>
      <c r="Q25" s="983"/>
      <c r="R25" s="674">
        <f>SUM(C25:Q25)</f>
        <v>7520.8207968999996</v>
      </c>
      <c r="S25" s="67"/>
    </row>
    <row r="26" spans="1:19" s="447" customFormat="1" ht="15.75" thickBot="1">
      <c r="A26" s="679" t="s">
        <v>835</v>
      </c>
      <c r="B26" s="791"/>
      <c r="C26" s="786">
        <f>SUM(C24:C25)</f>
        <v>4103.2720331399996</v>
      </c>
      <c r="D26" s="786">
        <f t="shared" ref="D26:R26" si="2">SUM(D24:D25)</f>
        <v>0</v>
      </c>
      <c r="E26" s="786">
        <f t="shared" si="2"/>
        <v>6550.9118603795996</v>
      </c>
      <c r="F26" s="786">
        <f t="shared" si="2"/>
        <v>49.397616205992584</v>
      </c>
      <c r="G26" s="786">
        <f t="shared" si="2"/>
        <v>7002.1163074930046</v>
      </c>
      <c r="H26" s="786">
        <f t="shared" si="2"/>
        <v>0</v>
      </c>
      <c r="I26" s="786">
        <f t="shared" si="2"/>
        <v>0</v>
      </c>
      <c r="J26" s="786">
        <f t="shared" si="2"/>
        <v>0</v>
      </c>
      <c r="K26" s="786">
        <f t="shared" si="2"/>
        <v>275.78512807148053</v>
      </c>
      <c r="L26" s="786">
        <f t="shared" si="2"/>
        <v>0</v>
      </c>
      <c r="M26" s="786">
        <f t="shared" si="2"/>
        <v>0</v>
      </c>
      <c r="N26" s="786">
        <f t="shared" si="2"/>
        <v>0</v>
      </c>
      <c r="O26" s="786">
        <f t="shared" si="2"/>
        <v>0</v>
      </c>
      <c r="P26" s="786">
        <f t="shared" si="2"/>
        <v>0</v>
      </c>
      <c r="Q26" s="786">
        <f t="shared" si="2"/>
        <v>0</v>
      </c>
      <c r="R26" s="786">
        <f t="shared" si="2"/>
        <v>17981.482945290074</v>
      </c>
      <c r="S26" s="67"/>
    </row>
    <row r="27" spans="1:19" s="447" customFormat="1" ht="17.25" thickTop="1" thickBot="1">
      <c r="A27" s="680" t="s">
        <v>115</v>
      </c>
      <c r="B27" s="779"/>
      <c r="C27" s="681">
        <f ca="1">C22+C16+C26</f>
        <v>182979.54652747588</v>
      </c>
      <c r="D27" s="681">
        <f t="shared" ref="D27:R27" ca="1" si="3">D22+D16+D26</f>
        <v>0</v>
      </c>
      <c r="E27" s="681">
        <f t="shared" ca="1" si="3"/>
        <v>228200.07703578996</v>
      </c>
      <c r="F27" s="681">
        <f t="shared" si="3"/>
        <v>64121.78605771462</v>
      </c>
      <c r="G27" s="681">
        <f t="shared" ca="1" si="3"/>
        <v>118689.58576011739</v>
      </c>
      <c r="H27" s="681">
        <f t="shared" si="3"/>
        <v>156924.86891891339</v>
      </c>
      <c r="I27" s="681">
        <f t="shared" si="3"/>
        <v>36202.65262652903</v>
      </c>
      <c r="J27" s="681">
        <f t="shared" si="3"/>
        <v>0</v>
      </c>
      <c r="K27" s="681">
        <f t="shared" si="3"/>
        <v>873.03303469193133</v>
      </c>
      <c r="L27" s="681">
        <f t="shared" si="3"/>
        <v>0</v>
      </c>
      <c r="M27" s="681">
        <f t="shared" ca="1" si="3"/>
        <v>0</v>
      </c>
      <c r="N27" s="681">
        <f t="shared" si="3"/>
        <v>6020.6045198221491</v>
      </c>
      <c r="O27" s="681">
        <f t="shared" ca="1" si="3"/>
        <v>44224.189440665155</v>
      </c>
      <c r="P27" s="681">
        <f t="shared" si="3"/>
        <v>581.56000000000006</v>
      </c>
      <c r="Q27" s="681">
        <f t="shared" si="3"/>
        <v>2840.9333333333334</v>
      </c>
      <c r="R27" s="681">
        <f t="shared" ca="1" si="3"/>
        <v>841658.83725505276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10686.784475234985</v>
      </c>
      <c r="D40" s="978">
        <f ca="1">tertiair!C20</f>
        <v>0</v>
      </c>
      <c r="E40" s="978">
        <f ca="1">tertiair!D20</f>
        <v>10497.126942698187</v>
      </c>
      <c r="F40" s="978">
        <f>tertiair!E20</f>
        <v>219.58704492047218</v>
      </c>
      <c r="G40" s="978">
        <f ca="1">tertiair!F20</f>
        <v>3301.1894558136432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24704.687918667292</v>
      </c>
    </row>
    <row r="41" spans="1:18">
      <c r="A41" s="796" t="s">
        <v>224</v>
      </c>
      <c r="B41" s="803"/>
      <c r="C41" s="978">
        <f ca="1">huishoudens!B12</f>
        <v>14987.17826245178</v>
      </c>
      <c r="D41" s="978">
        <f ca="1">huishoudens!C12</f>
        <v>0</v>
      </c>
      <c r="E41" s="978">
        <f>huishoudens!D12</f>
        <v>26856.251795104021</v>
      </c>
      <c r="F41" s="978">
        <f>huishoudens!E12</f>
        <v>12976.609461416267</v>
      </c>
      <c r="G41" s="978">
        <f>huishoudens!F12</f>
        <v>21419.802328133712</v>
      </c>
      <c r="H41" s="978">
        <f>huishoudens!G12</f>
        <v>0</v>
      </c>
      <c r="I41" s="978">
        <f>huishoudens!H12</f>
        <v>0</v>
      </c>
      <c r="J41" s="978">
        <f>huishoudens!I12</f>
        <v>0</v>
      </c>
      <c r="K41" s="978">
        <f>huishoudens!J12</f>
        <v>174.56640932068203</v>
      </c>
      <c r="L41" s="978">
        <f>huishoudens!K12</f>
        <v>0</v>
      </c>
      <c r="M41" s="978">
        <f>huishoudens!L12</f>
        <v>0</v>
      </c>
      <c r="N41" s="978">
        <f>huishoudens!M12</f>
        <v>0</v>
      </c>
      <c r="O41" s="978">
        <f>huishoudens!N12</f>
        <v>0</v>
      </c>
      <c r="P41" s="978">
        <f>huishoudens!O12</f>
        <v>0</v>
      </c>
      <c r="Q41" s="748">
        <f>huishoudens!P12</f>
        <v>0</v>
      </c>
      <c r="R41" s="824">
        <f t="shared" ca="1" si="4"/>
        <v>76414.408256426468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11123.286091115817</v>
      </c>
      <c r="D43" s="978">
        <f ca="1">industrie!C22</f>
        <v>0</v>
      </c>
      <c r="E43" s="978">
        <f>industrie!D22</f>
        <v>7398.2856287021195</v>
      </c>
      <c r="F43" s="978">
        <f>industrie!E22</f>
        <v>1240.799832345868</v>
      </c>
      <c r="G43" s="978">
        <f>industrie!F22</f>
        <v>5099.5625599033592</v>
      </c>
      <c r="H43" s="978">
        <f>industrie!G22</f>
        <v>0</v>
      </c>
      <c r="I43" s="978">
        <f>industrie!H22</f>
        <v>0</v>
      </c>
      <c r="J43" s="978">
        <f>industrie!I22</f>
        <v>0</v>
      </c>
      <c r="K43" s="978">
        <f>industrie!J22</f>
        <v>36.859349622957538</v>
      </c>
      <c r="L43" s="978">
        <f>industrie!K22</f>
        <v>0</v>
      </c>
      <c r="M43" s="978">
        <f>industrie!L22</f>
        <v>0</v>
      </c>
      <c r="N43" s="978">
        <f>industrie!M22</f>
        <v>0</v>
      </c>
      <c r="O43" s="978">
        <f>industrie!N22</f>
        <v>0</v>
      </c>
      <c r="P43" s="978">
        <f>industrie!O22</f>
        <v>0</v>
      </c>
      <c r="Q43" s="748">
        <f>industrie!P22</f>
        <v>0</v>
      </c>
      <c r="R43" s="823">
        <f t="shared" ca="1" si="4"/>
        <v>24898.793461690122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36797.248828802578</v>
      </c>
      <c r="D46" s="706">
        <f t="shared" ref="D46:Q46" ca="1" si="5">SUM(D39:D45)</f>
        <v>0</v>
      </c>
      <c r="E46" s="706">
        <f t="shared" ca="1" si="5"/>
        <v>44751.66436650433</v>
      </c>
      <c r="F46" s="706">
        <f t="shared" si="5"/>
        <v>14436.996338682608</v>
      </c>
      <c r="G46" s="706">
        <f t="shared" ca="1" si="5"/>
        <v>29820.554343850716</v>
      </c>
      <c r="H46" s="706">
        <f t="shared" si="5"/>
        <v>0</v>
      </c>
      <c r="I46" s="706">
        <f t="shared" si="5"/>
        <v>0</v>
      </c>
      <c r="J46" s="706">
        <f t="shared" si="5"/>
        <v>0</v>
      </c>
      <c r="K46" s="706">
        <f t="shared" si="5"/>
        <v>211.42575894363955</v>
      </c>
      <c r="L46" s="706">
        <f t="shared" si="5"/>
        <v>0</v>
      </c>
      <c r="M46" s="706">
        <f t="shared" ca="1" si="5"/>
        <v>0</v>
      </c>
      <c r="N46" s="706">
        <f t="shared" si="5"/>
        <v>0</v>
      </c>
      <c r="O46" s="706">
        <f t="shared" ca="1" si="5"/>
        <v>0</v>
      </c>
      <c r="P46" s="706">
        <f t="shared" si="5"/>
        <v>0</v>
      </c>
      <c r="Q46" s="706">
        <f t="shared" si="5"/>
        <v>0</v>
      </c>
      <c r="R46" s="706">
        <f ca="1">SUM(R39:R45)</f>
        <v>126017.88963678388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693.2174686478088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693.2174686478088</v>
      </c>
    </row>
    <row r="50" spans="1:18">
      <c r="A50" s="799" t="s">
        <v>306</v>
      </c>
      <c r="B50" s="809"/>
      <c r="C50" s="677">
        <f ca="1">transport!B18</f>
        <v>10.739794165841184</v>
      </c>
      <c r="D50" s="677">
        <f>transport!C18</f>
        <v>0</v>
      </c>
      <c r="E50" s="677">
        <f>transport!D18</f>
        <v>21.466998928566131</v>
      </c>
      <c r="F50" s="677">
        <f>transport!E18</f>
        <v>107.43583753985384</v>
      </c>
      <c r="G50" s="677">
        <f>transport!F18</f>
        <v>0</v>
      </c>
      <c r="H50" s="677">
        <f>transport!G18</f>
        <v>41205.722532702064</v>
      </c>
      <c r="I50" s="677">
        <f>transport!H18</f>
        <v>9014.4605040057286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50359.825667342055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10.739794165841184</v>
      </c>
      <c r="D52" s="706">
        <f t="shared" ref="D52:Q52" ca="1" si="6">SUM(D48:D51)</f>
        <v>0</v>
      </c>
      <c r="E52" s="706">
        <f t="shared" si="6"/>
        <v>21.466998928566131</v>
      </c>
      <c r="F52" s="706">
        <f t="shared" si="6"/>
        <v>107.43583753985384</v>
      </c>
      <c r="G52" s="706">
        <f t="shared" si="6"/>
        <v>0</v>
      </c>
      <c r="H52" s="706">
        <f t="shared" si="6"/>
        <v>41898.940001349874</v>
      </c>
      <c r="I52" s="706">
        <f t="shared" si="6"/>
        <v>9014.4605040057286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51053.043135989865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394.19277126877216</v>
      </c>
      <c r="D54" s="677">
        <f ca="1">+landbouw!C12</f>
        <v>0</v>
      </c>
      <c r="E54" s="677">
        <f>+landbouw!D12</f>
        <v>245.97524144607922</v>
      </c>
      <c r="F54" s="677">
        <f>+landbouw!E12</f>
        <v>11.213258878760318</v>
      </c>
      <c r="G54" s="677">
        <f>+landbouw!F12</f>
        <v>1869.5650541006323</v>
      </c>
      <c r="H54" s="677">
        <f>+landbouw!G12</f>
        <v>0</v>
      </c>
      <c r="I54" s="677">
        <f>+landbouw!H12</f>
        <v>0</v>
      </c>
      <c r="J54" s="677">
        <f>+landbouw!I12</f>
        <v>0</v>
      </c>
      <c r="K54" s="677">
        <f>+landbouw!J12</f>
        <v>97.627935337304109</v>
      </c>
      <c r="L54" s="677">
        <f>+landbouw!K12</f>
        <v>0</v>
      </c>
      <c r="M54" s="677">
        <f>+landbouw!L12</f>
        <v>0</v>
      </c>
      <c r="N54" s="677">
        <f>+landbouw!M12</f>
        <v>0</v>
      </c>
      <c r="O54" s="677">
        <f>+landbouw!N12</f>
        <v>0</v>
      </c>
      <c r="P54" s="677">
        <f>+landbouw!O12</f>
        <v>0</v>
      </c>
      <c r="Q54" s="678">
        <f>+landbouw!P12</f>
        <v>0</v>
      </c>
      <c r="R54" s="705">
        <f ca="1">SUM(C54:Q54)</f>
        <v>2618.5742610315483</v>
      </c>
    </row>
    <row r="55" spans="1:18" ht="15" thickBot="1">
      <c r="A55" s="799" t="s">
        <v>834</v>
      </c>
      <c r="B55" s="809"/>
      <c r="C55" s="677">
        <f ca="1">C25*'EF ele_warmte'!B12</f>
        <v>450.15168268252086</v>
      </c>
      <c r="D55" s="677"/>
      <c r="E55" s="677">
        <f>E25*EF_CO2_aardgas</f>
        <v>1077.3089543506001</v>
      </c>
      <c r="F55" s="677"/>
      <c r="G55" s="677"/>
      <c r="H55" s="677"/>
      <c r="I55" s="677"/>
      <c r="J55" s="677"/>
      <c r="K55" s="677"/>
      <c r="L55" s="677"/>
      <c r="M55" s="677"/>
      <c r="N55" s="677"/>
      <c r="O55" s="677"/>
      <c r="P55" s="677"/>
      <c r="Q55" s="678"/>
      <c r="R55" s="705">
        <f ca="1">SUM(C55:Q55)</f>
        <v>1527.460637033121</v>
      </c>
    </row>
    <row r="56" spans="1:18" ht="15.75" thickBot="1">
      <c r="A56" s="797" t="s">
        <v>835</v>
      </c>
      <c r="B56" s="810"/>
      <c r="C56" s="706">
        <f ca="1">SUM(C54:C55)</f>
        <v>844.34445395129296</v>
      </c>
      <c r="D56" s="706">
        <f t="shared" ref="D56:Q56" ca="1" si="7">SUM(D54:D55)</f>
        <v>0</v>
      </c>
      <c r="E56" s="706">
        <f t="shared" si="7"/>
        <v>1323.2841957966793</v>
      </c>
      <c r="F56" s="706">
        <f t="shared" si="7"/>
        <v>11.213258878760318</v>
      </c>
      <c r="G56" s="706">
        <f t="shared" si="7"/>
        <v>1869.5650541006323</v>
      </c>
      <c r="H56" s="706">
        <f t="shared" si="7"/>
        <v>0</v>
      </c>
      <c r="I56" s="706">
        <f t="shared" si="7"/>
        <v>0</v>
      </c>
      <c r="J56" s="706">
        <f t="shared" si="7"/>
        <v>0</v>
      </c>
      <c r="K56" s="706">
        <f t="shared" si="7"/>
        <v>97.627935337304109</v>
      </c>
      <c r="L56" s="706">
        <f t="shared" si="7"/>
        <v>0</v>
      </c>
      <c r="M56" s="706">
        <f t="shared" si="7"/>
        <v>0</v>
      </c>
      <c r="N56" s="706">
        <f t="shared" si="7"/>
        <v>0</v>
      </c>
      <c r="O56" s="706">
        <f t="shared" si="7"/>
        <v>0</v>
      </c>
      <c r="P56" s="706">
        <f t="shared" si="7"/>
        <v>0</v>
      </c>
      <c r="Q56" s="707">
        <f t="shared" si="7"/>
        <v>0</v>
      </c>
      <c r="R56" s="708">
        <f ca="1">SUM(R54:R55)</f>
        <v>4146.0348980646695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37652.333076919713</v>
      </c>
      <c r="D61" s="714">
        <f t="shared" ref="D61:Q61" ca="1" si="8">D46+D52+D56</f>
        <v>0</v>
      </c>
      <c r="E61" s="714">
        <f t="shared" ca="1" si="8"/>
        <v>46096.41556122958</v>
      </c>
      <c r="F61" s="714">
        <f t="shared" si="8"/>
        <v>14555.645435101222</v>
      </c>
      <c r="G61" s="714">
        <f t="shared" ca="1" si="8"/>
        <v>31690.119397951348</v>
      </c>
      <c r="H61" s="714">
        <f t="shared" si="8"/>
        <v>41898.940001349874</v>
      </c>
      <c r="I61" s="714">
        <f t="shared" si="8"/>
        <v>9014.4605040057286</v>
      </c>
      <c r="J61" s="714">
        <f t="shared" si="8"/>
        <v>0</v>
      </c>
      <c r="K61" s="714">
        <f t="shared" si="8"/>
        <v>309.05369428094366</v>
      </c>
      <c r="L61" s="714">
        <f t="shared" si="8"/>
        <v>0</v>
      </c>
      <c r="M61" s="714">
        <f t="shared" ca="1" si="8"/>
        <v>0</v>
      </c>
      <c r="N61" s="714">
        <f t="shared" si="8"/>
        <v>0</v>
      </c>
      <c r="O61" s="714">
        <f t="shared" ca="1" si="8"/>
        <v>0</v>
      </c>
      <c r="P61" s="714">
        <f t="shared" si="8"/>
        <v>0</v>
      </c>
      <c r="Q61" s="714">
        <f t="shared" si="8"/>
        <v>0</v>
      </c>
      <c r="R61" s="714">
        <f ca="1">R46+R52+R56</f>
        <v>181216.96767083841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0.20577345277913839</v>
      </c>
      <c r="D63" s="755">
        <f t="shared" ca="1" si="9"/>
        <v>0</v>
      </c>
      <c r="E63" s="989">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12606.998668110642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12606.998668110642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12606.998668110642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12606.998668110642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72833.39060523943</v>
      </c>
      <c r="C4" s="451">
        <f>huishoudens!C8</f>
        <v>0</v>
      </c>
      <c r="D4" s="451">
        <f>huishoudens!D8</f>
        <v>132951.74155992089</v>
      </c>
      <c r="E4" s="451">
        <f>huishoudens!E8</f>
        <v>57165.680446767692</v>
      </c>
      <c r="F4" s="451">
        <f>huishoudens!F8</f>
        <v>80223.978757055098</v>
      </c>
      <c r="G4" s="451">
        <f>huishoudens!G8</f>
        <v>0</v>
      </c>
      <c r="H4" s="451">
        <f>huishoudens!H8</f>
        <v>0</v>
      </c>
      <c r="I4" s="451">
        <f>huishoudens!I8</f>
        <v>0</v>
      </c>
      <c r="J4" s="451">
        <f>huishoudens!J8</f>
        <v>493.12545005842384</v>
      </c>
      <c r="K4" s="451">
        <f>huishoudens!K8</f>
        <v>0</v>
      </c>
      <c r="L4" s="451">
        <f>huishoudens!L8</f>
        <v>0</v>
      </c>
      <c r="M4" s="451">
        <f>huishoudens!M8</f>
        <v>0</v>
      </c>
      <c r="N4" s="451">
        <f>huishoudens!N8</f>
        <v>36284.340030407257</v>
      </c>
      <c r="O4" s="451">
        <f>huishoudens!O8</f>
        <v>572.18000000000006</v>
      </c>
      <c r="P4" s="452">
        <f>huishoudens!P8</f>
        <v>2802.8</v>
      </c>
      <c r="Q4" s="453">
        <f>SUM(B4:P4)</f>
        <v>383327.23684944876</v>
      </c>
    </row>
    <row r="5" spans="1:17">
      <c r="A5" s="450" t="s">
        <v>155</v>
      </c>
      <c r="B5" s="451">
        <f ca="1">tertiair!B16</f>
        <v>49155.198414170001</v>
      </c>
      <c r="C5" s="451">
        <f ca="1">tertiair!C16</f>
        <v>0</v>
      </c>
      <c r="D5" s="451">
        <f ca="1">tertiair!D16</f>
        <v>51965.974963852408</v>
      </c>
      <c r="E5" s="451">
        <f>tertiair!E16</f>
        <v>967.34381022234436</v>
      </c>
      <c r="F5" s="451">
        <f ca="1">tertiair!F16</f>
        <v>12364.005452485555</v>
      </c>
      <c r="G5" s="451">
        <f>tertiair!G16</f>
        <v>0</v>
      </c>
      <c r="H5" s="451">
        <f>tertiair!H16</f>
        <v>0</v>
      </c>
      <c r="I5" s="451">
        <f>tertiair!I16</f>
        <v>0</v>
      </c>
      <c r="J5" s="451">
        <f>tertiair!J16</f>
        <v>0</v>
      </c>
      <c r="K5" s="451">
        <f>tertiair!K16</f>
        <v>0</v>
      </c>
      <c r="L5" s="451">
        <f ca="1">tertiair!L16</f>
        <v>0</v>
      </c>
      <c r="M5" s="451">
        <f>tertiair!M16</f>
        <v>0</v>
      </c>
      <c r="N5" s="451">
        <f ca="1">tertiair!N16</f>
        <v>4965.3932454946444</v>
      </c>
      <c r="O5" s="451">
        <f>tertiair!O16</f>
        <v>9.3800000000000008</v>
      </c>
      <c r="P5" s="452">
        <f>tertiair!P16</f>
        <v>38.133333333333333</v>
      </c>
      <c r="Q5" s="450">
        <f t="shared" ref="Q5:Q14" ca="1" si="0">SUM(B5:P5)</f>
        <v>119465.4292195583</v>
      </c>
    </row>
    <row r="6" spans="1:17">
      <c r="A6" s="450" t="s">
        <v>193</v>
      </c>
      <c r="B6" s="451">
        <f>'openbare verlichting'!B8</f>
        <v>2779.511</v>
      </c>
      <c r="C6" s="451"/>
      <c r="D6" s="451"/>
      <c r="E6" s="451"/>
      <c r="F6" s="451"/>
      <c r="G6" s="451"/>
      <c r="H6" s="451"/>
      <c r="I6" s="451"/>
      <c r="J6" s="451"/>
      <c r="K6" s="451"/>
      <c r="L6" s="451"/>
      <c r="M6" s="451"/>
      <c r="N6" s="451"/>
      <c r="O6" s="451"/>
      <c r="P6" s="452"/>
      <c r="Q6" s="450">
        <f t="shared" si="0"/>
        <v>2779.511</v>
      </c>
    </row>
    <row r="7" spans="1:17">
      <c r="A7" s="450" t="s">
        <v>111</v>
      </c>
      <c r="B7" s="451">
        <f>landbouw!B8</f>
        <v>1915.6638815399999</v>
      </c>
      <c r="C7" s="451">
        <f>landbouw!C8</f>
        <v>0</v>
      </c>
      <c r="D7" s="451">
        <f>landbouw!D8</f>
        <v>1217.6992150796</v>
      </c>
      <c r="E7" s="451">
        <f>landbouw!E8</f>
        <v>49.397616205992584</v>
      </c>
      <c r="F7" s="451">
        <f>landbouw!F8</f>
        <v>7002.1163074930046</v>
      </c>
      <c r="G7" s="451">
        <f>landbouw!G8</f>
        <v>0</v>
      </c>
      <c r="H7" s="451">
        <f>landbouw!H8</f>
        <v>0</v>
      </c>
      <c r="I7" s="451">
        <f>landbouw!I8</f>
        <v>0</v>
      </c>
      <c r="J7" s="451">
        <f>landbouw!J8</f>
        <v>275.78512807148053</v>
      </c>
      <c r="K7" s="451">
        <f>landbouw!K8</f>
        <v>0</v>
      </c>
      <c r="L7" s="451">
        <f>landbouw!L8</f>
        <v>0</v>
      </c>
      <c r="M7" s="451">
        <f>landbouw!M8</f>
        <v>0</v>
      </c>
      <c r="N7" s="451">
        <f>landbouw!N8</f>
        <v>0</v>
      </c>
      <c r="O7" s="451">
        <f>landbouw!O8</f>
        <v>0</v>
      </c>
      <c r="P7" s="452">
        <f>landbouw!P8</f>
        <v>0</v>
      </c>
      <c r="Q7" s="450">
        <f t="shared" si="0"/>
        <v>10460.662148390076</v>
      </c>
    </row>
    <row r="8" spans="1:17">
      <c r="A8" s="450" t="s">
        <v>637</v>
      </c>
      <c r="B8" s="451">
        <f>industrie!B18</f>
        <v>54055.982153610006</v>
      </c>
      <c r="C8" s="451">
        <f>industrie!C18</f>
        <v>0</v>
      </c>
      <c r="D8" s="451">
        <f>industrie!D18</f>
        <v>36625.176379713463</v>
      </c>
      <c r="E8" s="451">
        <f>industrie!E18</f>
        <v>5466.0785565897268</v>
      </c>
      <c r="F8" s="451">
        <f>industrie!F18</f>
        <v>19099.485243083742</v>
      </c>
      <c r="G8" s="451">
        <f>industrie!G18</f>
        <v>0</v>
      </c>
      <c r="H8" s="451">
        <f>industrie!H18</f>
        <v>0</v>
      </c>
      <c r="I8" s="451">
        <f>industrie!I18</f>
        <v>0</v>
      </c>
      <c r="J8" s="451">
        <f>industrie!J18</f>
        <v>104.12245656202695</v>
      </c>
      <c r="K8" s="451">
        <f>industrie!K18</f>
        <v>0</v>
      </c>
      <c r="L8" s="451">
        <f>industrie!L18</f>
        <v>0</v>
      </c>
      <c r="M8" s="451">
        <f>industrie!M18</f>
        <v>0</v>
      </c>
      <c r="N8" s="451">
        <f>industrie!N18</f>
        <v>2974.4561647632499</v>
      </c>
      <c r="O8" s="451">
        <f>industrie!O18</f>
        <v>0</v>
      </c>
      <c r="P8" s="452">
        <f>industrie!P18</f>
        <v>0</v>
      </c>
      <c r="Q8" s="450">
        <f t="shared" si="0"/>
        <v>118325.3009543222</v>
      </c>
    </row>
    <row r="9" spans="1:17" s="456" customFormat="1">
      <c r="A9" s="454" t="s">
        <v>563</v>
      </c>
      <c r="B9" s="455">
        <f>transport!B14</f>
        <v>52.192321316435617</v>
      </c>
      <c r="C9" s="455">
        <f>transport!C14</f>
        <v>0</v>
      </c>
      <c r="D9" s="455">
        <f>transport!D14</f>
        <v>106.2722719235947</v>
      </c>
      <c r="E9" s="455">
        <f>transport!E14</f>
        <v>473.28562792887152</v>
      </c>
      <c r="F9" s="455">
        <f>transport!F14</f>
        <v>0</v>
      </c>
      <c r="G9" s="455">
        <f>transport!G14</f>
        <v>154328.54881161821</v>
      </c>
      <c r="H9" s="455">
        <f>transport!H14</f>
        <v>36202.65262652903</v>
      </c>
      <c r="I9" s="455">
        <f>transport!I14</f>
        <v>0</v>
      </c>
      <c r="J9" s="455">
        <f>transport!J14</f>
        <v>0</v>
      </c>
      <c r="K9" s="455">
        <f>transport!K14</f>
        <v>0</v>
      </c>
      <c r="L9" s="455">
        <f>transport!L14</f>
        <v>0</v>
      </c>
      <c r="M9" s="455">
        <f>transport!M14</f>
        <v>5940.1741395070221</v>
      </c>
      <c r="N9" s="455">
        <f>transport!N14</f>
        <v>0</v>
      </c>
      <c r="O9" s="455">
        <f>transport!O14</f>
        <v>0</v>
      </c>
      <c r="P9" s="455">
        <f>transport!P14</f>
        <v>0</v>
      </c>
      <c r="Q9" s="454">
        <f>SUM(B9:P9)</f>
        <v>197103.12579882317</v>
      </c>
    </row>
    <row r="10" spans="1:17">
      <c r="A10" s="450" t="s">
        <v>553</v>
      </c>
      <c r="B10" s="451">
        <f>transport!B54</f>
        <v>0</v>
      </c>
      <c r="C10" s="451">
        <f>transport!C54</f>
        <v>0</v>
      </c>
      <c r="D10" s="451">
        <f>transport!D54</f>
        <v>0</v>
      </c>
      <c r="E10" s="451">
        <f>transport!E54</f>
        <v>0</v>
      </c>
      <c r="F10" s="451">
        <f>transport!F54</f>
        <v>0</v>
      </c>
      <c r="G10" s="451">
        <f>transport!G54</f>
        <v>2596.3201072951638</v>
      </c>
      <c r="H10" s="451">
        <f>transport!H54</f>
        <v>0</v>
      </c>
      <c r="I10" s="451">
        <f>transport!I54</f>
        <v>0</v>
      </c>
      <c r="J10" s="451">
        <f>transport!J54</f>
        <v>0</v>
      </c>
      <c r="K10" s="451">
        <f>transport!K54</f>
        <v>0</v>
      </c>
      <c r="L10" s="451">
        <f>transport!L54</f>
        <v>0</v>
      </c>
      <c r="M10" s="451">
        <f>transport!M54</f>
        <v>80.430380315127422</v>
      </c>
      <c r="N10" s="451">
        <f>transport!N54</f>
        <v>0</v>
      </c>
      <c r="O10" s="451">
        <f>transport!O54</f>
        <v>0</v>
      </c>
      <c r="P10" s="452">
        <f>transport!P54</f>
        <v>0</v>
      </c>
      <c r="Q10" s="450">
        <f t="shared" si="0"/>
        <v>2676.7504876102912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2187.6081515999999</v>
      </c>
      <c r="C14" s="458"/>
      <c r="D14" s="458">
        <f>'SEAP template'!E25</f>
        <v>5333.2126453000001</v>
      </c>
      <c r="E14" s="458"/>
      <c r="F14" s="458"/>
      <c r="G14" s="458"/>
      <c r="H14" s="458"/>
      <c r="I14" s="458"/>
      <c r="J14" s="458"/>
      <c r="K14" s="458"/>
      <c r="L14" s="458"/>
      <c r="M14" s="458"/>
      <c r="N14" s="458"/>
      <c r="O14" s="458"/>
      <c r="P14" s="459"/>
      <c r="Q14" s="450">
        <f t="shared" si="0"/>
        <v>7520.8207968999996</v>
      </c>
    </row>
    <row r="15" spans="1:17" s="460" customFormat="1">
      <c r="A15" s="1004" t="s">
        <v>557</v>
      </c>
      <c r="B15" s="944">
        <f ca="1">SUM(B4:B14)</f>
        <v>182979.54652747585</v>
      </c>
      <c r="C15" s="944">
        <f t="shared" ref="C15:Q15" ca="1" si="1">SUM(C4:C14)</f>
        <v>0</v>
      </c>
      <c r="D15" s="944">
        <f t="shared" ca="1" si="1"/>
        <v>228200.07703578996</v>
      </c>
      <c r="E15" s="944">
        <f t="shared" si="1"/>
        <v>64121.78605771462</v>
      </c>
      <c r="F15" s="944">
        <f t="shared" ca="1" si="1"/>
        <v>118689.58576011739</v>
      </c>
      <c r="G15" s="944">
        <f t="shared" si="1"/>
        <v>156924.86891891339</v>
      </c>
      <c r="H15" s="944">
        <f t="shared" si="1"/>
        <v>36202.65262652903</v>
      </c>
      <c r="I15" s="944">
        <f t="shared" si="1"/>
        <v>0</v>
      </c>
      <c r="J15" s="944">
        <f t="shared" si="1"/>
        <v>873.03303469193133</v>
      </c>
      <c r="K15" s="944">
        <f t="shared" si="1"/>
        <v>0</v>
      </c>
      <c r="L15" s="944">
        <f t="shared" ca="1" si="1"/>
        <v>0</v>
      </c>
      <c r="M15" s="944">
        <f t="shared" si="1"/>
        <v>6020.6045198221491</v>
      </c>
      <c r="N15" s="944">
        <f t="shared" ca="1" si="1"/>
        <v>44224.189440665155</v>
      </c>
      <c r="O15" s="944">
        <f t="shared" si="1"/>
        <v>581.56000000000006</v>
      </c>
      <c r="P15" s="944">
        <f t="shared" si="1"/>
        <v>2840.9333333333334</v>
      </c>
      <c r="Q15" s="944">
        <f t="shared" ca="1" si="1"/>
        <v>841658.83725505287</v>
      </c>
    </row>
    <row r="17" spans="1:17">
      <c r="A17" s="461" t="s">
        <v>558</v>
      </c>
      <c r="B17" s="760">
        <f ca="1">huishoudens!B10</f>
        <v>0.20577345277913842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14987.17826245178</v>
      </c>
      <c r="C22" s="451">
        <f t="shared" ref="C22:C32" ca="1" si="3">C4*$C$17</f>
        <v>0</v>
      </c>
      <c r="D22" s="451">
        <f t="shared" ref="D22:D32" si="4">D4*$D$17</f>
        <v>26856.251795104021</v>
      </c>
      <c r="E22" s="451">
        <f t="shared" ref="E22:E32" si="5">E4*$E$17</f>
        <v>12976.609461416267</v>
      </c>
      <c r="F22" s="451">
        <f t="shared" ref="F22:F32" si="6">F4*$F$17</f>
        <v>21419.802328133712</v>
      </c>
      <c r="G22" s="451">
        <f t="shared" ref="G22:G32" si="7">G4*$G$17</f>
        <v>0</v>
      </c>
      <c r="H22" s="451">
        <f t="shared" ref="H22:H32" si="8">H4*$H$17</f>
        <v>0</v>
      </c>
      <c r="I22" s="451">
        <f t="shared" ref="I22:I32" si="9">I4*$I$17</f>
        <v>0</v>
      </c>
      <c r="J22" s="451">
        <f t="shared" ref="J22:J32" si="10">J4*$J$17</f>
        <v>174.56640932068203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76414.408256426468</v>
      </c>
    </row>
    <row r="23" spans="1:17">
      <c r="A23" s="450" t="s">
        <v>155</v>
      </c>
      <c r="B23" s="451">
        <f t="shared" ca="1" si="2"/>
        <v>10114.83489972739</v>
      </c>
      <c r="C23" s="451">
        <f t="shared" ca="1" si="3"/>
        <v>0</v>
      </c>
      <c r="D23" s="451">
        <f t="shared" ca="1" si="4"/>
        <v>10497.126942698187</v>
      </c>
      <c r="E23" s="451">
        <f t="shared" si="5"/>
        <v>219.58704492047218</v>
      </c>
      <c r="F23" s="451">
        <f t="shared" ca="1" si="6"/>
        <v>3301.1894558136432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24132.738343159694</v>
      </c>
    </row>
    <row r="24" spans="1:17">
      <c r="A24" s="450" t="s">
        <v>193</v>
      </c>
      <c r="B24" s="451">
        <f t="shared" ca="1" si="2"/>
        <v>571.9495755075958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571.9495755075958</v>
      </c>
    </row>
    <row r="25" spans="1:17">
      <c r="A25" s="450" t="s">
        <v>111</v>
      </c>
      <c r="B25" s="451">
        <f t="shared" ca="1" si="2"/>
        <v>394.19277126877216</v>
      </c>
      <c r="C25" s="451">
        <f t="shared" ca="1" si="3"/>
        <v>0</v>
      </c>
      <c r="D25" s="451">
        <f t="shared" si="4"/>
        <v>245.97524144607922</v>
      </c>
      <c r="E25" s="451">
        <f t="shared" si="5"/>
        <v>11.213258878760318</v>
      </c>
      <c r="F25" s="451">
        <f t="shared" si="6"/>
        <v>1869.5650541006323</v>
      </c>
      <c r="G25" s="451">
        <f t="shared" si="7"/>
        <v>0</v>
      </c>
      <c r="H25" s="451">
        <f t="shared" si="8"/>
        <v>0</v>
      </c>
      <c r="I25" s="451">
        <f t="shared" si="9"/>
        <v>0</v>
      </c>
      <c r="J25" s="451">
        <f t="shared" si="10"/>
        <v>97.627935337304109</v>
      </c>
      <c r="K25" s="451">
        <f t="shared" si="11"/>
        <v>0</v>
      </c>
      <c r="L25" s="451">
        <f t="shared" si="12"/>
        <v>0</v>
      </c>
      <c r="M25" s="451">
        <f t="shared" si="13"/>
        <v>0</v>
      </c>
      <c r="N25" s="451">
        <f t="shared" si="14"/>
        <v>0</v>
      </c>
      <c r="O25" s="451">
        <f t="shared" si="15"/>
        <v>0</v>
      </c>
      <c r="P25" s="452">
        <f t="shared" si="16"/>
        <v>0</v>
      </c>
      <c r="Q25" s="450">
        <f t="shared" ca="1" si="17"/>
        <v>2618.5742610315483</v>
      </c>
    </row>
    <row r="26" spans="1:17">
      <c r="A26" s="450" t="s">
        <v>637</v>
      </c>
      <c r="B26" s="451">
        <f t="shared" ca="1" si="2"/>
        <v>11123.286091115817</v>
      </c>
      <c r="C26" s="451">
        <f t="shared" ca="1" si="3"/>
        <v>0</v>
      </c>
      <c r="D26" s="451">
        <f t="shared" si="4"/>
        <v>7398.2856287021195</v>
      </c>
      <c r="E26" s="451">
        <f t="shared" si="5"/>
        <v>1240.799832345868</v>
      </c>
      <c r="F26" s="451">
        <f t="shared" si="6"/>
        <v>5099.5625599033592</v>
      </c>
      <c r="G26" s="451">
        <f t="shared" si="7"/>
        <v>0</v>
      </c>
      <c r="H26" s="451">
        <f t="shared" si="8"/>
        <v>0</v>
      </c>
      <c r="I26" s="451">
        <f t="shared" si="9"/>
        <v>0</v>
      </c>
      <c r="J26" s="451">
        <f t="shared" si="10"/>
        <v>36.859349622957538</v>
      </c>
      <c r="K26" s="451">
        <f t="shared" si="11"/>
        <v>0</v>
      </c>
      <c r="L26" s="451">
        <f t="shared" si="12"/>
        <v>0</v>
      </c>
      <c r="M26" s="451">
        <f t="shared" si="13"/>
        <v>0</v>
      </c>
      <c r="N26" s="451">
        <f t="shared" si="14"/>
        <v>0</v>
      </c>
      <c r="O26" s="451">
        <f t="shared" si="15"/>
        <v>0</v>
      </c>
      <c r="P26" s="452">
        <f t="shared" si="16"/>
        <v>0</v>
      </c>
      <c r="Q26" s="450">
        <f t="shared" ca="1" si="17"/>
        <v>24898.793461690122</v>
      </c>
    </row>
    <row r="27" spans="1:17" s="456" customFormat="1">
      <c r="A27" s="454" t="s">
        <v>563</v>
      </c>
      <c r="B27" s="754">
        <f t="shared" ca="1" si="2"/>
        <v>10.739794165841184</v>
      </c>
      <c r="C27" s="455">
        <f t="shared" ca="1" si="3"/>
        <v>0</v>
      </c>
      <c r="D27" s="455">
        <f t="shared" si="4"/>
        <v>21.466998928566131</v>
      </c>
      <c r="E27" s="455">
        <f t="shared" si="5"/>
        <v>107.43583753985384</v>
      </c>
      <c r="F27" s="455">
        <f t="shared" si="6"/>
        <v>0</v>
      </c>
      <c r="G27" s="455">
        <f t="shared" si="7"/>
        <v>41205.722532702064</v>
      </c>
      <c r="H27" s="455">
        <f t="shared" si="8"/>
        <v>9014.4605040057286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50359.825667342055</v>
      </c>
    </row>
    <row r="28" spans="1:17">
      <c r="A28" s="450" t="s">
        <v>553</v>
      </c>
      <c r="B28" s="451">
        <f t="shared" ca="1" si="2"/>
        <v>0</v>
      </c>
      <c r="C28" s="451">
        <f t="shared" ca="1" si="3"/>
        <v>0</v>
      </c>
      <c r="D28" s="451">
        <f t="shared" si="4"/>
        <v>0</v>
      </c>
      <c r="E28" s="451">
        <f t="shared" si="5"/>
        <v>0</v>
      </c>
      <c r="F28" s="451">
        <f t="shared" si="6"/>
        <v>0</v>
      </c>
      <c r="G28" s="451">
        <f t="shared" si="7"/>
        <v>693.2174686478088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693.2174686478088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450.15168268252086</v>
      </c>
      <c r="C32" s="451">
        <f t="shared" ca="1" si="3"/>
        <v>0</v>
      </c>
      <c r="D32" s="451">
        <f t="shared" si="4"/>
        <v>1077.3089543506001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1527.460637033121</v>
      </c>
    </row>
    <row r="33" spans="1:17" s="460" customFormat="1">
      <c r="A33" s="1004" t="s">
        <v>557</v>
      </c>
      <c r="B33" s="944">
        <f ca="1">SUM(B22:B32)</f>
        <v>37652.333076919713</v>
      </c>
      <c r="C33" s="944">
        <f t="shared" ref="C33:Q33" ca="1" si="18">SUM(C22:C32)</f>
        <v>0</v>
      </c>
      <c r="D33" s="944">
        <f t="shared" ca="1" si="18"/>
        <v>46096.41556122958</v>
      </c>
      <c r="E33" s="944">
        <f t="shared" si="18"/>
        <v>14555.645435101222</v>
      </c>
      <c r="F33" s="944">
        <f t="shared" ca="1" si="18"/>
        <v>31690.119397951348</v>
      </c>
      <c r="G33" s="944">
        <f t="shared" si="18"/>
        <v>41898.940001349874</v>
      </c>
      <c r="H33" s="944">
        <f t="shared" si="18"/>
        <v>9014.4605040057286</v>
      </c>
      <c r="I33" s="944">
        <f t="shared" si="18"/>
        <v>0</v>
      </c>
      <c r="J33" s="944">
        <f t="shared" si="18"/>
        <v>309.05369428094366</v>
      </c>
      <c r="K33" s="944">
        <f t="shared" si="18"/>
        <v>0</v>
      </c>
      <c r="L33" s="944">
        <f t="shared" ca="1" si="18"/>
        <v>0</v>
      </c>
      <c r="M33" s="944">
        <f t="shared" si="18"/>
        <v>0</v>
      </c>
      <c r="N33" s="944">
        <f t="shared" ca="1" si="18"/>
        <v>0</v>
      </c>
      <c r="O33" s="944">
        <f t="shared" si="18"/>
        <v>0</v>
      </c>
      <c r="P33" s="944">
        <f t="shared" si="18"/>
        <v>0</v>
      </c>
      <c r="Q33" s="944">
        <f t="shared" ca="1" si="18"/>
        <v>181216.96767083844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12606.998668110642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12606.998668110642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0.20577345277913842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0.20577345277913842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2020-06-20T15:50:58Z</dcterms:modified>
</cp:coreProperties>
</file>