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R34" i="18"/>
  <c r="Q34" i="18"/>
  <c r="P34" i="18"/>
  <c r="D6" i="17" s="1"/>
  <c r="O34" i="18"/>
  <c r="N34" i="18"/>
  <c r="M34" i="18"/>
  <c r="W33" i="18"/>
  <c r="V33" i="18"/>
  <c r="U33" i="18"/>
  <c r="T33" i="18"/>
  <c r="S33" i="18"/>
  <c r="F13" i="15" s="1"/>
  <c r="R33" i="18"/>
  <c r="Q33" i="18"/>
  <c r="P33" i="18"/>
  <c r="O33" i="18"/>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C13" i="15"/>
  <c r="D13" i="15"/>
  <c r="L6" i="17"/>
  <c r="F20" i="18"/>
  <c r="N6" i="17"/>
  <c r="B47" i="18"/>
  <c r="H51"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1"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1" i="18" l="1"/>
  <c r="H17" i="18" s="1"/>
  <c r="F51" i="18"/>
  <c r="C51" i="18"/>
  <c r="B51" i="18"/>
  <c r="C17" i="18" s="1"/>
  <c r="C20" i="18" s="1"/>
  <c r="B50" i="18"/>
  <c r="C8" i="18" s="1"/>
  <c r="D76" i="14" s="1"/>
  <c r="D8" i="59" s="1"/>
  <c r="D10" i="59" s="1"/>
  <c r="D50" i="18"/>
  <c r="G51" i="18"/>
  <c r="I17" i="18" s="1"/>
  <c r="D51" i="18"/>
  <c r="J17" i="18" s="1"/>
  <c r="O9" i="18"/>
  <c r="G78" i="14"/>
  <c r="C77" i="14"/>
  <c r="C9" i="59" s="1"/>
  <c r="F50" i="18"/>
  <c r="I8" i="18" s="1"/>
  <c r="H50" i="18"/>
  <c r="C50" i="18"/>
  <c r="E50" i="18"/>
  <c r="E8" i="18" s="1"/>
  <c r="F76" i="14" s="1"/>
  <c r="F8" i="59" s="1"/>
  <c r="F10" i="59" s="1"/>
  <c r="B77" i="14"/>
  <c r="B9" i="59" s="1"/>
  <c r="G50" i="18"/>
  <c r="G90" i="14"/>
  <c r="G18" i="59"/>
  <c r="G20" i="59" s="1"/>
  <c r="C88" i="14"/>
  <c r="C18" i="59" s="1"/>
  <c r="Q88" i="14"/>
  <c r="P18" i="59" s="1"/>
  <c r="C89" i="14"/>
  <c r="C19" i="59" s="1"/>
  <c r="F19" i="59"/>
  <c r="Q89" i="14"/>
  <c r="P19" i="59" s="1"/>
  <c r="J8" i="18"/>
  <c r="F87" i="14"/>
  <c r="E20" i="18"/>
  <c r="H20" i="18"/>
  <c r="M87" i="14"/>
  <c r="M76" i="14"/>
  <c r="H10" i="18"/>
  <c r="K33" i="48"/>
  <c r="H14" i="15"/>
  <c r="H16" i="15" s="1"/>
  <c r="G14" i="15"/>
  <c r="G16" i="15" s="1"/>
  <c r="C10" i="18" l="1"/>
  <c r="D87" i="14"/>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N63" i="14"/>
  <c r="F10" i="14"/>
  <c r="E5" i="48"/>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8" i="48"/>
  <c r="E26" i="48" s="1"/>
  <c r="F13" i="14"/>
  <c r="F16" i="14" s="1"/>
  <c r="F27" i="14" s="1"/>
  <c r="F63" i="14" s="1"/>
  <c r="J22" i="16"/>
  <c r="K43" i="14" s="1"/>
  <c r="K46" i="14" s="1"/>
  <c r="K61" i="14" s="1"/>
  <c r="K63" i="14" s="1"/>
  <c r="K13" i="14"/>
  <c r="K16" i="14" s="1"/>
  <c r="K27" i="14" s="1"/>
  <c r="J8" i="48"/>
  <c r="N8" i="48"/>
  <c r="N26" i="48" s="1"/>
  <c r="O13" i="14"/>
  <c r="N22" i="16"/>
  <c r="O43" i="14" s="1"/>
  <c r="G13" i="14"/>
  <c r="R13" i="14" s="1"/>
  <c r="F8" i="48"/>
  <c r="E15" i="48" l="1"/>
  <c r="E33" i="48"/>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<sst xmlns="http://schemas.openxmlformats.org/spreadsheetml/2006/main" count="2434" uniqueCount="909">
  <si>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</si>
  <si>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</si>
  <si>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</si>
  <si>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</si>
  <si>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</si>
  <si>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</si>
  <si>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</si>
  <si>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</si>
  <si>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</si>
  <si>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</si>
  <si>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</si>
  <si>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</si>
  <si>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</si>
  <si>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</si>
  <si>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</si>
  <si>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</si>
  <si>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</si>
  <si>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</si>
  <si>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</si>
  <si>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</si>
  <si>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</si>
  <si>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</si>
  <si>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</si>
  <si>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</si>
  <si>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</si>
  <si>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</si>
  <si>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</si>
  <si>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</si>
  <si>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</si>
  <si>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</si>
  <si>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</si>
  <si>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</si>
  <si>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</si>
  <si>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</si>
  <si>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</si>
  <si>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</si>
  <si>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</si>
  <si>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</si>
  <si>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</si>
  <si>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</si>
  <si>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</si>
  <si>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</si>
  <si>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</si>
  <si>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</si>
  <si>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</si>
  <si>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</si>
  <si>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</si>
  <si>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</si>
  <si>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</si>
  <si>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</si>
  <si>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</si>
  <si>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</si>
  <si>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</si>
  <si>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</si>
  <si>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</si>
  <si>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</si>
  <si>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</si>
  <si>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</si>
  <si>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</si>
  <si>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</si>
  <si>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</si>
  <si>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</si>
  <si>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</si>
  <si>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</si>
  <si>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</si>
  <si>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</si>
  <si>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</si>
  <si>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</si>
  <si>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</si>
  <si>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</si>
  <si>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</si>
  <si>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</si>
  <si>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</si>
  <si>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</si>
  <si>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</si>
  <si>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</si>
  <si>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</si>
  <si>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</si>
  <si>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</si>
  <si>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</si>
  <si>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</si>
  <si>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</si>
  <si>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</si>
  <si>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</si>
  <si>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</si>
  <si>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</si>
  <si>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</si>
  <si>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</si>
  <si>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</si>
  <si>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</si>
  <si>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</si>
  <si>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</si>
  <si>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</si>
  <si>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</si>
  <si>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</si>
  <si>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</si>
  <si>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</si>
  <si>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</si>
  <si>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</si>
  <si>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</si>
  <si>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</si>
  <si>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</si>
  <si>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</si>
  <si>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</si>
  <si>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</si>
  <si>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</si>
  <si>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</si>
  <si>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</si>
  <si>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</si>
  <si>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</si>
  <si>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</si>
  <si>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</si>
  <si>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</si>
  <si>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</si>
  <si>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</si>
  <si>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</si>
  <si>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</si>
  <si>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</si>
  <si>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</si>
  <si>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</si>
  <si>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</si>
  <si>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</si>
  <si>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</si>
  <si>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</si>
  <si>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</si>
  <si>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</si>
  <si>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</si>
  <si>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</si>
  <si>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</si>
  <si>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</si>
  <si>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</si>
  <si>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</si>
  <si>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</si>
  <si>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</si>
  <si>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</si>
  <si>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</si>
  <si>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</si>
  <si>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</si>
  <si>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</si>
  <si>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</si>
  <si>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</si>
  <si>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</si>
  <si>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</si>
  <si>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</si>
  <si>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</si>
  <si>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</si>
  <si>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</si>
  <si>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</si>
  <si>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</si>
  <si>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</si>
  <si>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</si>
  <si>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</si>
  <si>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</si>
  <si>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</si>
  <si>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</si>
  <si>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</si>
  <si>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</si>
  <si>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</si>
  <si>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</si>
  <si>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</si>
  <si>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</si>
  <si>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</si>
  <si>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</si>
  <si>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</si>
  <si>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</si>
  <si>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</si>
  <si>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</si>
  <si>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</si>
  <si>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</si>
  <si>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</si>
  <si>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</si>
  <si>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</si>
  <si>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</si>
  <si>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</si>
  <si>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</si>
  <si>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</si>
  <si>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</si>
  <si>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</si>
  <si>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</si>
  <si>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</si>
  <si>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</si>
  <si>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</si>
  <si>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</si>
  <si>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</si>
  <si>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</si>
  <si>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</si>
  <si>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</si>
  <si>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</si>
  <si>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</si>
  <si>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</si>
  <si>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</si>
  <si>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</si>
  <si>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</si>
  <si>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</si>
  <si>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</si>
  <si>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</si>
  <si>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</si>
  <si>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</si>
  <si>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</si>
  <si>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</si>
  <si>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</si>
  <si>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</si>
  <si>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</si>
  <si>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</si>
  <si>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</si>
  <si>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</si>
  <si>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</si>
  <si>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</si>
  <si>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</si>
  <si>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</si>
  <si>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</si>
  <si>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</si>
  <si>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</si>
  <si>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</si>
  <si>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</si>
  <si>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</si>
  <si>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</si>
  <si>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</si>
  <si>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</si>
  <si>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</si>
  <si>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</si>
  <si>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</si>
  <si>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</si>
  <si>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</si>
  <si>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</si>
  <si>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</si>
  <si>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</si>
  <si>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</si>
  <si>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</si>
  <si>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</si>
  <si>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</si>
  <si>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</si>
  <si>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</si>
  <si>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</si>
  <si>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</si>
  <si>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</si>
  <si>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</si>
  <si>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</si>
  <si>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</si>
  <si>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</si>
  <si>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</si>
  <si>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</si>
  <si>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</si>
  <si>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</si>
  <si>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</si>
  <si>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</si>
  <si>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</si>
  <si>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</si>
  <si>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</si>
  <si>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</si>
  <si>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</si>
  <si>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</si>
  <si>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</si>
  <si>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</si>
  <si>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</si>
  <si>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</si>
  <si>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</si>
  <si>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</si>
  <si>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</si>
  <si>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</si>
  <si>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</si>
  <si>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</si>
  <si>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</si>
  <si>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</si>
  <si>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</si>
  <si>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</si>
  <si>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</si>
  <si>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</si>
  <si>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</si>
  <si>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</si>
  <si>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</si>
  <si>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</si>
  <si>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</si>
  <si>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</si>
  <si>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</si>
  <si>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</si>
  <si>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</si>
  <si>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</si>
  <si>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</si>
  <si>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</si>
  <si>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</si>
  <si>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</si>
  <si>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</si>
  <si>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</si>
  <si>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</si>
  <si>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</si>
  <si>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</si>
  <si>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</si>
  <si>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</si>
  <si>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</si>
  <si>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</si>
  <si>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</si>
  <si>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</si>
  <si>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</si>
  <si>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</si>
  <si>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</si>
  <si>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</si>
  <si>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</si>
  <si>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</si>
  <si>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</si>
  <si>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</si>
  <si>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</si>
  <si>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</si>
  <si>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</si>
  <si>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</si>
  <si>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</si>
  <si>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</si>
  <si>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</si>
  <si>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</si>
  <si>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</si>
  <si>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</si>
  <si>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</si>
  <si>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</si>
  <si>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</si>
  <si>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</si>
  <si>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</si>
  <si>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</si>
  <si>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</si>
  <si>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</si>
  <si>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</si>
  <si>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</si>
  <si>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</si>
  <si>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</si>
  <si>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</si>
  <si>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</si>
  <si>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</si>
  <si>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</si>
  <si>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</si>
  <si>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</si>
  <si>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</si>
  <si>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</si>
  <si>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</si>
  <si>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</si>
  <si>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</si>
  <si>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</si>
  <si>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</si>
  <si>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</si>
  <si>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</si>
  <si>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</si>
  <si>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</si>
  <si>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</si>
  <si>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</si>
  <si>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</si>
  <si>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</si>
  <si>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</si>
  <si>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</si>
  <si>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</si>
  <si>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</si>
  <si>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</si>
  <si>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</si>
  <si>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</si>
  <si>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</si>
  <si>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</si>
  <si>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</si>
  <si>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</si>
  <si>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</si>
  <si>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</si>
  <si>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</si>
  <si>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</si>
  <si>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</si>
  <si>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</si>
  <si>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</si>
  <si>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</si>
  <si>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</si>
  <si>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</si>
  <si>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</si>
  <si>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</si>
  <si>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</si>
  <si>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</si>
  <si>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</si>
  <si>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</si>
  <si>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</si>
  <si>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</si>
  <si>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</si>
  <si>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</si>
  <si>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</si>
  <si>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</si>
  <si>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</si>
  <si>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</si>
  <si>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</si>
  <si>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</si>
  <si>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</si>
  <si>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</si>
  <si>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</si>
  <si>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</si>
  <si>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</si>
  <si>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</si>
  <si>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</si>
  <si>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</si>
  <si>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</si>
  <si>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</si>
  <si>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</si>
  <si>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</si>
  <si>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</si>
  <si>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</si>
  <si>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</si>
  <si>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</si>
  <si>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</si>
  <si>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</si>
  <si>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</si>
  <si>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</si>
  <si>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</si>
  <si>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</si>
  <si>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</si>
  <si>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</si>
  <si>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</si>
  <si>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</si>
  <si>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</si>
  <si>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</si>
  <si>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</si>
  <si>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</si>
  <si>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</si>
  <si>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</si>
  <si>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</si>
  <si>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</si>
  <si>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</si>
  <si>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</si>
  <si>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</si>
  <si>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</si>
  <si>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</si>
  <si>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</si>
  <si>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</si>
  <si>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</si>
  <si>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</si>
  <si>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</si>
  <si>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</si>
  <si>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</si>
  <si>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</si>
  <si>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</si>
  <si>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</si>
  <si>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</si>
  <si>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</si>
  <si>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</si>
  <si>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</si>
  <si>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</si>
  <si>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</si>
  <si>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</si>
  <si>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</si>
  <si>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</si>
  <si>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</si>
  <si>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</si>
  <si>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</si>
  <si>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</si>
  <si>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</si>
  <si>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</si>
  <si>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</si>
  <si>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</si>
  <si>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</si>
  <si>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</si>
  <si>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</si>
  <si>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</si>
  <si>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</si>
  <si>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</si>
  <si>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</si>
  <si>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</si>
  <si>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</si>
  <si>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</si>
  <si>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</si>
  <si>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</si>
  <si>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</si>
  <si>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</si>
  <si>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</si>
  <si>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</si>
  <si>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</si>
  <si>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</si>
  <si>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</si>
  <si>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</si>
  <si>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</si>
  <si>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</si>
  <si>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</si>
  <si>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</si>
  <si>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</si>
  <si>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</si>
  <si>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</si>
  <si>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</si>
  <si>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</si>
  <si>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</si>
  <si>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</si>
  <si>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</si>
  <si>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</si>
  <si>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</si>
  <si>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</si>
  <si>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</si>
  <si>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</si>
  <si>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</si>
  <si>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</si>
  <si>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</si>
  <si>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</si>
  <si>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</si>
  <si>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</si>
  <si>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</si>
  <si>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</si>
  <si>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</si>
  <si>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</si>
  <si>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</si>
  <si>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</si>
  <si>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</si>
  <si>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</si>
  <si>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</si>
  <si>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</si>
  <si>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</si>
  <si>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</si>
  <si>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</si>
  <si>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</si>
  <si>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</si>
  <si>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</si>
  <si>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</si>
  <si>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</si>
  <si>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</si>
  <si>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</si>
  <si>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</si>
  <si>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</si>
  <si>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</si>
  <si>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</si>
  <si>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</si>
  <si>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</si>
  <si>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</si>
  <si>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</si>
  <si>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</si>
  <si>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</si>
  <si>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</si>
  <si>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</si>
  <si>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</si>
  <si>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</si>
  <si>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</si>
  <si>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</si>
  <si>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</si>
  <si>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</si>
  <si>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</si>
  <si>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</si>
  <si>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</si>
  <si>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</si>
  <si>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</si>
  <si>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</si>
  <si>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</si>
  <si>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</si>
  <si>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</si>
  <si>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</si>
  <si>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</si>
  <si>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</si>
  <si>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</si>
  <si>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</si>
  <si>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</si>
  <si>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</si>
  <si>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</si>
  <si>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</si>
  <si>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</si>
  <si>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</si>
  <si>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</si>
  <si>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</si>
  <si>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</si>
  <si>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</si>
  <si>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</si>
  <si>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</si>
  <si>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</si>
  <si>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</si>
  <si>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</si>
  <si>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</si>
  <si>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</si>
  <si>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</si>
  <si>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</si>
  <si>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</si>
  <si>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</si>
  <si>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</si>
  <si>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</si>
  <si>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</si>
  <si>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</si>
  <si>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</si>
  <si>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</si>
  <si>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</si>
  <si>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</si>
  <si>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</si>
  <si>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</si>
  <si>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</si>
  <si>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</si>
  <si>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</si>
  <si>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</si>
  <si>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</si>
  <si>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</si>
  <si>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</si>
  <si>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</si>
  <si>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</si>
  <si>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</si>
  <si>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</si>
  <si>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</si>
  <si>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</si>
  <si>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</si>
  <si>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</si>
  <si>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</si>
  <si>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</si>
  <si>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</si>
  <si>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</si>
  <si>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</si>
  <si>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</si>
  <si>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</si>
  <si>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</si>
  <si>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</si>
  <si>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</si>
  <si>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</si>
  <si>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</si>
  <si>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</si>
  <si>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</si>
  <si>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</si>
  <si>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</si>
  <si>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</si>
  <si>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</si>
  <si>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</si>
  <si>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</si>
  <si>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</si>
  <si>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</si>
  <si>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</si>
  <si>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</si>
  <si>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</si>
  <si>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</si>
  <si>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</si>
  <si>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</si>
  <si>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</si>
  <si>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</si>
  <si>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</si>
  <si>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</si>
  <si>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</si>
  <si>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</si>
  <si>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</si>
  <si>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</si>
  <si>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</si>
  <si>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</si>
  <si>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</si>
  <si>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</si>
  <si>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</si>
  <si>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</si>
  <si>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</si>
  <si>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</si>
  <si>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</si>
  <si>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</si>
  <si>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</si>
  <si>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</si>
  <si>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</si>
  <si>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</si>
  <si>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</si>
  <si>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</si>
  <si>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</si>
  <si>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</si>
  <si>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</si>
  <si>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</si>
  <si>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</si>
  <si>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</si>
  <si>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</si>
  <si>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</si>
  <si>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</si>
  <si>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</si>
  <si>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</si>
  <si>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</si>
  <si>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</si>
  <si>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</si>
  <si>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</si>
  <si>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</si>
  <si>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</si>
  <si>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</si>
  <si>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</si>
  <si>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</si>
  <si>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</si>
  <si>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</si>
  <si>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</si>
  <si>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</si>
  <si>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</si>
  <si>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</si>
  <si>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</si>
  <si>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</si>
  <si>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</si>
  <si>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</si>
  <si>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</si>
  <si>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</si>
  <si>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</si>
  <si>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</si>
  <si>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</si>
  <si>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</si>
  <si>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</si>
  <si>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</si>
  <si>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</si>
  <si>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</si>
  <si>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</si>
  <si>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</si>
  <si>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</si>
  <si>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</si>
  <si>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</si>
  <si>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</si>
  <si>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</si>
  <si>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</si>
  <si>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</si>
  <si>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</si>
  <si>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</si>
  <si>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</si>
  <si>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</si>
  <si>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</si>
  <si>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</si>
  <si>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</si>
  <si>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</si>
  <si>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</si>
  <si>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</si>
  <si>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</si>
  <si>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</si>
  <si>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</si>
  <si>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</si>
  <si>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</si>
  <si>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</si>
  <si>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</si>
  <si>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</si>
  <si>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</si>
  <si>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</si>
  <si>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</si>
  <si>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</si>
  <si>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</si>
  <si>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</si>
  <si>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</si>
  <si>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</si>
  <si>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</si>
  <si>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</si>
  <si>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</si>
  <si>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</si>
  <si>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</si>
  <si>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</si>
  <si>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</si>
  <si>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</si>
  <si>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</si>
  <si>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</si>
  <si>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</si>
  <si>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</si>
  <si>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</si>
  <si>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</si>
  <si>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</si>
  <si>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</si>
  <si>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</si>
  <si>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</si>
  <si>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</si>
  <si>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</si>
  <si>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</si>
  <si>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</si>
  <si>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</si>
  <si>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</si>
  <si>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</si>
  <si>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</si>
  <si>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</si>
  <si>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</si>
  <si>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</si>
  <si>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</si>
  <si>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</si>
  <si>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</si>
  <si>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</si>
  <si>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</si>
  <si>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</si>
  <si>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</si>
  <si>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</si>
  <si>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</si>
  <si>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</si>
  <si>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</si>
  <si>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</si>
  <si>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</si>
  <si>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</si>
  <si>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</si>
  <si>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</si>
  <si>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</si>
  <si>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</si>
  <si>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</si>
  <si>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</si>
  <si>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</si>
  <si>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</si>
  <si>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</si>
  <si>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</si>
  <si>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</si>
  <si>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</si>
  <si>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</si>
  <si>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</si>
  <si>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</si>
  <si>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</si>
  <si>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</si>
  <si>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</si>
  <si>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</si>
  <si>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</si>
  <si>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</si>
  <si>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</si>
  <si>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</si>
  <si>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</si>
  <si>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</si>
  <si>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</si>
  <si>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</si>
  <si>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</si>
  <si>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</si>
  <si>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</si>
  <si>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</si>
  <si>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</si>
  <si>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</si>
  <si>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</si>
  <si>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</si>
  <si>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</si>
  <si>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</si>
  <si>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</si>
  <si>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</si>
  <si>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</si>
  <si>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</si>
  <si>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</si>
  <si>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</si>
  <si>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</si>
  <si>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</si>
  <si>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</si>
  <si>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</si>
  <si>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</si>
  <si>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</si>
  <si>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</si>
  <si>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</si>
  <si>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</si>
  <si>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</si>
  <si>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</si>
  <si>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</si>
  <si>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</si>
  <si>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</si>
  <si>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</si>
  <si>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</si>
  <si>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</si>
  <si>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</si>
  <si>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</si>
  <si>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</si>
  <si>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</si>
  <si>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</si>
  <si>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</si>
  <si>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</si>
  <si>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</si>
  <si>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</si>
  <si>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</si>
  <si>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</si>
  <si>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</si>
  <si>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</si>
  <si>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</si>
  <si>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</si>
  <si>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</si>
  <si>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</si>
  <si>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</si>
  <si>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</si>
  <si>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</si>
  <si>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</si>
  <si>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</si>
  <si>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</si>
  <si>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</si>
  <si>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</si>
  <si>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</si>
  <si>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</si>
  <si>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</si>
  <si>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</si>
  <si>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</si>
  <si>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</si>
  <si>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</si>
  <si>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</si>
  <si>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</si>
  <si>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</si>
  <si>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</si>
  <si>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</si>
  <si>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</si>
  <si>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</si>
  <si>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</si>
  <si>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</si>
  <si>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</si>
  <si>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</si>
  <si>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</si>
  <si>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</si>
  <si>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</si>
  <si>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</si>
  <si>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</si>
  <si>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</si>
  <si>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</si>
  <si>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</si>
  <si>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</si>
  <si>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</si>
  <si>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</si>
  <si>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</si>
  <si>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</si>
  <si>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</si>
  <si>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</si>
  <si>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</si>
  <si>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</si>
  <si>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</si>
  <si>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</si>
  <si>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</si>
  <si>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</si>
  <si>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</si>
  <si>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</si>
  <si>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</si>
  <si>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</si>
  <si>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</si>
  <si>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</si>
  <si>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</si>
  <si>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</si>
  <si>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11056</t>
  </si>
  <si>
    <t>ZWIJNDRECHT</t>
  </si>
  <si>
    <t>Paarden&amp;pony's 200 - 600 kg</t>
  </si>
  <si>
    <t>Paarden&amp;pony's &lt; 200 kg</t>
  </si>
  <si>
    <t>Fluvius</t>
  </si>
  <si>
    <t>referentietaak LNE (2017); Jaarverslag De Lijn</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</si>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</sst>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122698.42716618092</c:v>
                </c:pt>
                <c:pt idx="1">
                  <c:v>57697.414244377549</c:v>
                </c:pt>
                <c:pt idx="2">
                  <c:v>1282.4361118000002</c:v>
                </c:pt>
                <c:pt idx="3">
                  <c:v>50999.785497729506</c:v>
                </c:pt>
                <c:pt idx="4">
                  <c:v>59748.245465280386</c:v>
                </c:pt>
                <c:pt idx="5">
                  <c:v>235171.13100001449</c:v>
                </c:pt>
                <c:pt idx="6">
                  <c:v>2280.6970339885911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122698.42716618092</c:v>
                </c:pt>
                <c:pt idx="1">
                  <c:v>57697.414244377549</c:v>
                </c:pt>
                <c:pt idx="2">
                  <c:v>1282.4361118000002</c:v>
                </c:pt>
                <c:pt idx="3">
                  <c:v>50999.785497729506</c:v>
                </c:pt>
                <c:pt idx="4">
                  <c:v>59748.245465280386</c:v>
                </c:pt>
                <c:pt idx="5">
                  <c:v>235171.13100001449</c:v>
                </c:pt>
                <c:pt idx="6">
                  <c:v>2280.6970339885911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24239.282003653607</c:v>
                </c:pt>
                <c:pt idx="2">
                  <c:v>11841.124487774927</c:v>
                </c:pt>
                <c:pt idx="3">
                  <c:v>275.40433095444416</c:v>
                </c:pt>
                <c:pt idx="4">
                  <c:v>12263.255529074593</c:v>
                </c:pt>
                <c:pt idx="5">
                  <c:v>12798.321771369529</c:v>
                </c:pt>
                <c:pt idx="6">
                  <c:v>60383.957685752677</c:v>
                </c:pt>
                <c:pt idx="7">
                  <c:v>538.42188202000034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24239.282003653607</c:v>
                </c:pt>
                <c:pt idx="2">
                  <c:v>11841.124487774927</c:v>
                </c:pt>
                <c:pt idx="3">
                  <c:v>275.40433095444416</c:v>
                </c:pt>
                <c:pt idx="4">
                  <c:v>12263.255529074593</c:v>
                </c:pt>
                <c:pt idx="5">
                  <c:v>12798.321771369529</c:v>
                </c:pt>
                <c:pt idx="6">
                  <c:v>60383.957685752677</c:v>
                </c:pt>
                <c:pt idx="7">
                  <c:v>538.42188202000034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11056</v>
      </c>
      <c r="B6" s="390"/>
      <c r="C6" s="391"/>
    </row>
    <row r="7" spans="1:7" s="388" customFormat="1" ht="15.75" customHeight="1">
      <c r="A7" s="392" t="str">
        <f>txtMunicipality</f>
        <v>ZWIJNDRECHT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26013.369165780005</v>
      </c>
      <c r="D10" s="978">
        <f ca="1">tertiair!C16</f>
        <v>32.142857142857146</v>
      </c>
      <c r="E10" s="978">
        <f ca="1">tertiair!D16</f>
        <v>23788.590651925708</v>
      </c>
      <c r="F10" s="978">
        <f>tertiair!E16</f>
        <v>495.25305406709003</v>
      </c>
      <c r="G10" s="978">
        <f ca="1">tertiair!F16</f>
        <v>6010.4027216418945</v>
      </c>
      <c r="H10" s="978">
        <f>tertiair!G16</f>
        <v>0</v>
      </c>
      <c r="I10" s="978">
        <f>tertiair!H16</f>
        <v>0</v>
      </c>
      <c r="J10" s="978">
        <f>tertiair!I16</f>
        <v>0</v>
      </c>
      <c r="K10" s="978">
        <f>tertiair!J16</f>
        <v>0</v>
      </c>
      <c r="L10" s="978">
        <f>tertiair!K16</f>
        <v>0</v>
      </c>
      <c r="M10" s="978">
        <f ca="1">tertiair!L16</f>
        <v>0</v>
      </c>
      <c r="N10" s="978">
        <f>tertiair!M16</f>
        <v>0</v>
      </c>
      <c r="O10" s="978">
        <f ca="1">tertiair!N16</f>
        <v>2619.4619056199945</v>
      </c>
      <c r="P10" s="978">
        <f>tertiair!O16</f>
        <v>1.5633333333333335</v>
      </c>
      <c r="Q10" s="979">
        <f>tertiair!P16</f>
        <v>19.066666666666666</v>
      </c>
      <c r="R10" s="674">
        <f ca="1">SUM(C10:Q10)</f>
        <v>58979.850356177558</v>
      </c>
      <c r="S10" s="67"/>
    </row>
    <row r="11" spans="1:19" s="447" customFormat="1">
      <c r="A11" s="783" t="s">
        <v>224</v>
      </c>
      <c r="B11" s="788"/>
      <c r="C11" s="978">
        <f>huishoudens!B8</f>
        <v>31930.386708299542</v>
      </c>
      <c r="D11" s="978">
        <f>huishoudens!C8</f>
        <v>0</v>
      </c>
      <c r="E11" s="978">
        <f>huishoudens!D8</f>
        <v>84347.166828957997</v>
      </c>
      <c r="F11" s="978">
        <f>huishoudens!E8</f>
        <v>1515.7466063446029</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4565.6370225787678</v>
      </c>
      <c r="P11" s="978">
        <f>huishoudens!O8</f>
        <v>129.75666666666669</v>
      </c>
      <c r="Q11" s="979">
        <f>huishoudens!P8</f>
        <v>209.73333333333335</v>
      </c>
      <c r="R11" s="674">
        <f>SUM(C11:Q11)</f>
        <v>122698.42716618092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34696.047954725</v>
      </c>
      <c r="D13" s="978">
        <f>industrie!C18</f>
        <v>0</v>
      </c>
      <c r="E13" s="978">
        <f>industrie!D18</f>
        <v>11076.770234514115</v>
      </c>
      <c r="F13" s="978">
        <f>industrie!E18</f>
        <v>2289.7890572717574</v>
      </c>
      <c r="G13" s="978">
        <f>industrie!F18</f>
        <v>9374.0763988496656</v>
      </c>
      <c r="H13" s="978">
        <f>industrie!G18</f>
        <v>0</v>
      </c>
      <c r="I13" s="978">
        <f>industrie!H18</f>
        <v>0</v>
      </c>
      <c r="J13" s="978">
        <f>industrie!I18</f>
        <v>0</v>
      </c>
      <c r="K13" s="978">
        <f>industrie!J18</f>
        <v>246.17388775047141</v>
      </c>
      <c r="L13" s="978">
        <f>industrie!K18</f>
        <v>0</v>
      </c>
      <c r="M13" s="978">
        <f>industrie!L18</f>
        <v>0</v>
      </c>
      <c r="N13" s="978">
        <f>industrie!M18</f>
        <v>0</v>
      </c>
      <c r="O13" s="978">
        <f>industrie!N18</f>
        <v>2065.3879321693835</v>
      </c>
      <c r="P13" s="978">
        <f>industrie!O18</f>
        <v>0</v>
      </c>
      <c r="Q13" s="979">
        <f>industrie!P18</f>
        <v>0</v>
      </c>
      <c r="R13" s="674">
        <f>SUM(C13:Q13)</f>
        <v>59748.245465280386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92639.80382880455</v>
      </c>
      <c r="D16" s="706">
        <f t="shared" ref="D16:R16" ca="1" si="0">SUM(D9:D15)</f>
        <v>32.142857142857146</v>
      </c>
      <c r="E16" s="706">
        <f t="shared" ca="1" si="0"/>
        <v>119212.52771539782</v>
      </c>
      <c r="F16" s="706">
        <f t="shared" si="0"/>
        <v>4300.7887176834502</v>
      </c>
      <c r="G16" s="706">
        <f t="shared" ca="1" si="0"/>
        <v>15384.47912049156</v>
      </c>
      <c r="H16" s="706">
        <f t="shared" si="0"/>
        <v>0</v>
      </c>
      <c r="I16" s="706">
        <f t="shared" si="0"/>
        <v>0</v>
      </c>
      <c r="J16" s="706">
        <f t="shared" si="0"/>
        <v>0</v>
      </c>
      <c r="K16" s="706">
        <f t="shared" si="0"/>
        <v>246.17388775047141</v>
      </c>
      <c r="L16" s="706">
        <f t="shared" si="0"/>
        <v>0</v>
      </c>
      <c r="M16" s="706">
        <f t="shared" ca="1" si="0"/>
        <v>0</v>
      </c>
      <c r="N16" s="706">
        <f t="shared" si="0"/>
        <v>0</v>
      </c>
      <c r="O16" s="706">
        <f t="shared" ca="1" si="0"/>
        <v>9250.4868603681462</v>
      </c>
      <c r="P16" s="706">
        <f t="shared" si="0"/>
        <v>131.32000000000002</v>
      </c>
      <c r="Q16" s="706">
        <f t="shared" si="0"/>
        <v>228.8</v>
      </c>
      <c r="R16" s="706">
        <f t="shared" ca="1" si="0"/>
        <v>241426.52298763883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1180.8973429291846</v>
      </c>
      <c r="D19" s="978">
        <f>transport!C54</f>
        <v>0</v>
      </c>
      <c r="E19" s="978">
        <f>transport!D54</f>
        <v>0</v>
      </c>
      <c r="F19" s="978">
        <f>transport!E54</f>
        <v>0</v>
      </c>
      <c r="G19" s="978">
        <f>transport!F54</f>
        <v>0</v>
      </c>
      <c r="H19" s="978">
        <f>transport!G54</f>
        <v>1066.7531639991505</v>
      </c>
      <c r="I19" s="978">
        <f>transport!H54</f>
        <v>0</v>
      </c>
      <c r="J19" s="978">
        <f>transport!I54</f>
        <v>0</v>
      </c>
      <c r="K19" s="978">
        <f>transport!J54</f>
        <v>0</v>
      </c>
      <c r="L19" s="978">
        <f>transport!K54</f>
        <v>0</v>
      </c>
      <c r="M19" s="978">
        <f>transport!L54</f>
        <v>0</v>
      </c>
      <c r="N19" s="978">
        <f>transport!M54</f>
        <v>33.046527060256302</v>
      </c>
      <c r="O19" s="978">
        <f>transport!N54</f>
        <v>0</v>
      </c>
      <c r="P19" s="978">
        <f>transport!O54</f>
        <v>0</v>
      </c>
      <c r="Q19" s="979">
        <f>transport!P54</f>
        <v>0</v>
      </c>
      <c r="R19" s="674">
        <f>SUM(C19:Q19)</f>
        <v>2280.6970339885911</v>
      </c>
      <c r="S19" s="67"/>
    </row>
    <row r="20" spans="1:19" s="447" customFormat="1">
      <c r="A20" s="783" t="s">
        <v>306</v>
      </c>
      <c r="B20" s="788"/>
      <c r="C20" s="978">
        <f>transport!B14</f>
        <v>40.014081426307598</v>
      </c>
      <c r="D20" s="978">
        <f>transport!C14</f>
        <v>0</v>
      </c>
      <c r="E20" s="978">
        <f>transport!D14</f>
        <v>76.088859293363328</v>
      </c>
      <c r="F20" s="978">
        <f>transport!E14</f>
        <v>399.03498921028364</v>
      </c>
      <c r="G20" s="978">
        <f>transport!F14</f>
        <v>0</v>
      </c>
      <c r="H20" s="978">
        <f>transport!G14</f>
        <v>200696.05297868341</v>
      </c>
      <c r="I20" s="978">
        <f>transport!H14</f>
        <v>26841.636898146633</v>
      </c>
      <c r="J20" s="978">
        <f>transport!I14</f>
        <v>0</v>
      </c>
      <c r="K20" s="978">
        <f>transport!J14</f>
        <v>0</v>
      </c>
      <c r="L20" s="978">
        <f>transport!K14</f>
        <v>0</v>
      </c>
      <c r="M20" s="978">
        <f>transport!L14</f>
        <v>0</v>
      </c>
      <c r="N20" s="978">
        <f>transport!M14</f>
        <v>7118.3031932545273</v>
      </c>
      <c r="O20" s="978">
        <f>transport!N14</f>
        <v>0</v>
      </c>
      <c r="P20" s="978">
        <f>transport!O14</f>
        <v>0</v>
      </c>
      <c r="Q20" s="979">
        <f>transport!P14</f>
        <v>0</v>
      </c>
      <c r="R20" s="674">
        <f>SUM(C20:Q20)</f>
        <v>235171.13100001449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1220.9114243554923</v>
      </c>
      <c r="D22" s="786">
        <f t="shared" ref="D22:R22" si="1">SUM(D18:D21)</f>
        <v>0</v>
      </c>
      <c r="E22" s="786">
        <f t="shared" si="1"/>
        <v>76.088859293363328</v>
      </c>
      <c r="F22" s="786">
        <f t="shared" si="1"/>
        <v>399.03498921028364</v>
      </c>
      <c r="G22" s="786">
        <f t="shared" si="1"/>
        <v>0</v>
      </c>
      <c r="H22" s="786">
        <f t="shared" si="1"/>
        <v>201762.80614268256</v>
      </c>
      <c r="I22" s="786">
        <f t="shared" si="1"/>
        <v>26841.636898146633</v>
      </c>
      <c r="J22" s="786">
        <f t="shared" si="1"/>
        <v>0</v>
      </c>
      <c r="K22" s="786">
        <f t="shared" si="1"/>
        <v>0</v>
      </c>
      <c r="L22" s="786">
        <f t="shared" si="1"/>
        <v>0</v>
      </c>
      <c r="M22" s="786">
        <f t="shared" si="1"/>
        <v>0</v>
      </c>
      <c r="N22" s="786">
        <f t="shared" si="1"/>
        <v>7151.3497203147836</v>
      </c>
      <c r="O22" s="786">
        <f t="shared" si="1"/>
        <v>0</v>
      </c>
      <c r="P22" s="786">
        <f t="shared" si="1"/>
        <v>0</v>
      </c>
      <c r="Q22" s="786">
        <f t="shared" si="1"/>
        <v>0</v>
      </c>
      <c r="R22" s="786">
        <f t="shared" si="1"/>
        <v>237451.82803400309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1420.6986535000001</v>
      </c>
      <c r="D24" s="978">
        <f>+landbouw!C8</f>
        <v>44145</v>
      </c>
      <c r="E24" s="978">
        <f>+landbouw!D8</f>
        <v>0</v>
      </c>
      <c r="F24" s="978">
        <f>+landbouw!E8</f>
        <v>36.634363421596966</v>
      </c>
      <c r="G24" s="978">
        <f>+landbouw!F8</f>
        <v>5192.9241374580806</v>
      </c>
      <c r="H24" s="978">
        <f>+landbouw!G8</f>
        <v>0</v>
      </c>
      <c r="I24" s="978">
        <f>+landbouw!H8</f>
        <v>0</v>
      </c>
      <c r="J24" s="978">
        <f>+landbouw!I8</f>
        <v>0</v>
      </c>
      <c r="K24" s="978">
        <f>+landbouw!J8</f>
        <v>204.52834334982808</v>
      </c>
      <c r="L24" s="978">
        <f>+landbouw!K8</f>
        <v>0</v>
      </c>
      <c r="M24" s="978">
        <f>+landbouw!L8</f>
        <v>0</v>
      </c>
      <c r="N24" s="978">
        <f>+landbouw!M8</f>
        <v>0</v>
      </c>
      <c r="O24" s="978">
        <f>+landbouw!N8</f>
        <v>0</v>
      </c>
      <c r="P24" s="978">
        <f>+landbouw!O8</f>
        <v>0</v>
      </c>
      <c r="Q24" s="979">
        <f>+landbouw!P8</f>
        <v>0</v>
      </c>
      <c r="R24" s="674">
        <f>SUM(C24:Q24)</f>
        <v>50999.785497729506</v>
      </c>
      <c r="S24" s="67"/>
    </row>
    <row r="25" spans="1:19" s="447" customFormat="1" ht="15" thickBot="1">
      <c r="A25" s="805" t="s">
        <v>834</v>
      </c>
      <c r="B25" s="981"/>
      <c r="C25" s="982">
        <f>IF(Onbekend_ele_kWh="---",0,Onbekend_ele_kWh)/1000+IF(REST_rest_ele_kWh="---",0,REST_rest_ele_kWh)/1000</f>
        <v>969.00638727</v>
      </c>
      <c r="D25" s="982"/>
      <c r="E25" s="982">
        <f>IF(onbekend_gas_kWh="---",0,onbekend_gas_kWh)/1000+IF(REST_rest_gas_kWh="---",0,REST_rest_gas_kWh)/1000</f>
        <v>2657.5861805</v>
      </c>
      <c r="F25" s="982"/>
      <c r="G25" s="982"/>
      <c r="H25" s="982"/>
      <c r="I25" s="982"/>
      <c r="J25" s="982"/>
      <c r="K25" s="982"/>
      <c r="L25" s="982"/>
      <c r="M25" s="982"/>
      <c r="N25" s="982"/>
      <c r="O25" s="982"/>
      <c r="P25" s="982"/>
      <c r="Q25" s="983"/>
      <c r="R25" s="674">
        <f>SUM(C25:Q25)</f>
        <v>3626.5925677699997</v>
      </c>
      <c r="S25" s="67"/>
    </row>
    <row r="26" spans="1:19" s="447" customFormat="1" ht="15.75" thickBot="1">
      <c r="A26" s="679" t="s">
        <v>835</v>
      </c>
      <c r="B26" s="791"/>
      <c r="C26" s="786">
        <f>SUM(C24:C25)</f>
        <v>2389.7050407699999</v>
      </c>
      <c r="D26" s="786">
        <f t="shared" ref="D26:R26" si="2">SUM(D24:D25)</f>
        <v>44145</v>
      </c>
      <c r="E26" s="786">
        <f t="shared" si="2"/>
        <v>2657.5861805</v>
      </c>
      <c r="F26" s="786">
        <f t="shared" si="2"/>
        <v>36.634363421596966</v>
      </c>
      <c r="G26" s="786">
        <f t="shared" si="2"/>
        <v>5192.9241374580806</v>
      </c>
      <c r="H26" s="786">
        <f t="shared" si="2"/>
        <v>0</v>
      </c>
      <c r="I26" s="786">
        <f t="shared" si="2"/>
        <v>0</v>
      </c>
      <c r="J26" s="786">
        <f t="shared" si="2"/>
        <v>0</v>
      </c>
      <c r="K26" s="786">
        <f t="shared" si="2"/>
        <v>204.52834334982808</v>
      </c>
      <c r="L26" s="786">
        <f t="shared" si="2"/>
        <v>0</v>
      </c>
      <c r="M26" s="786">
        <f t="shared" si="2"/>
        <v>0</v>
      </c>
      <c r="N26" s="786">
        <f t="shared" si="2"/>
        <v>0</v>
      </c>
      <c r="O26" s="786">
        <f t="shared" si="2"/>
        <v>0</v>
      </c>
      <c r="P26" s="786">
        <f t="shared" si="2"/>
        <v>0</v>
      </c>
      <c r="Q26" s="786">
        <f t="shared" si="2"/>
        <v>0</v>
      </c>
      <c r="R26" s="786">
        <f t="shared" si="2"/>
        <v>54626.378065499506</v>
      </c>
      <c r="S26" s="67"/>
    </row>
    <row r="27" spans="1:19" s="447" customFormat="1" ht="17.25" thickTop="1" thickBot="1">
      <c r="A27" s="680" t="s">
        <v>115</v>
      </c>
      <c r="B27" s="779"/>
      <c r="C27" s="681">
        <f ca="1">C22+C16+C26</f>
        <v>96250.420293930045</v>
      </c>
      <c r="D27" s="681">
        <f t="shared" ref="D27:R27" ca="1" si="3">D22+D16+D26</f>
        <v>44177.142857142855</v>
      </c>
      <c r="E27" s="681">
        <f t="shared" ca="1" si="3"/>
        <v>121946.20275519119</v>
      </c>
      <c r="F27" s="681">
        <f t="shared" si="3"/>
        <v>4736.4580703153315</v>
      </c>
      <c r="G27" s="681">
        <f t="shared" ca="1" si="3"/>
        <v>20577.403257949642</v>
      </c>
      <c r="H27" s="681">
        <f t="shared" si="3"/>
        <v>201762.80614268256</v>
      </c>
      <c r="I27" s="681">
        <f t="shared" si="3"/>
        <v>26841.636898146633</v>
      </c>
      <c r="J27" s="681">
        <f t="shared" si="3"/>
        <v>0</v>
      </c>
      <c r="K27" s="681">
        <f t="shared" si="3"/>
        <v>450.70223110029951</v>
      </c>
      <c r="L27" s="681">
        <f t="shared" si="3"/>
        <v>0</v>
      </c>
      <c r="M27" s="681">
        <f t="shared" ca="1" si="3"/>
        <v>0</v>
      </c>
      <c r="N27" s="681">
        <f t="shared" si="3"/>
        <v>7151.3497203147836</v>
      </c>
      <c r="O27" s="681">
        <f t="shared" ca="1" si="3"/>
        <v>9250.4868603681462</v>
      </c>
      <c r="P27" s="681">
        <f t="shared" si="3"/>
        <v>131.32000000000002</v>
      </c>
      <c r="Q27" s="681">
        <f t="shared" si="3"/>
        <v>228.8</v>
      </c>
      <c r="R27" s="681">
        <f t="shared" ca="1" si="3"/>
        <v>533504.72908714146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5586.3948816265765</v>
      </c>
      <c r="D40" s="978">
        <f ca="1">tertiair!C20</f>
        <v>7.6386554621848752</v>
      </c>
      <c r="E40" s="978">
        <f ca="1">tertiair!D20</f>
        <v>4805.295311688993</v>
      </c>
      <c r="F40" s="978">
        <f>tertiair!E20</f>
        <v>112.42244327322945</v>
      </c>
      <c r="G40" s="978">
        <f ca="1">tertiair!F20</f>
        <v>1604.7775266783858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12116.52881872937</v>
      </c>
    </row>
    <row r="41" spans="1:18">
      <c r="A41" s="796" t="s">
        <v>224</v>
      </c>
      <c r="B41" s="803"/>
      <c r="C41" s="978">
        <f ca="1">huishoudens!B12</f>
        <v>6857.0798245638662</v>
      </c>
      <c r="D41" s="978">
        <f ca="1">huishoudens!C12</f>
        <v>0</v>
      </c>
      <c r="E41" s="978">
        <f>huishoudens!D12</f>
        <v>17038.127699449517</v>
      </c>
      <c r="F41" s="978">
        <f>huishoudens!E12</f>
        <v>344.07447964022487</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24239.282003653607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7451.0081132404584</v>
      </c>
      <c r="D43" s="978">
        <f ca="1">industrie!C22</f>
        <v>0</v>
      </c>
      <c r="E43" s="978">
        <f>industrie!D22</f>
        <v>2237.5075873718515</v>
      </c>
      <c r="F43" s="978">
        <f>industrie!E22</f>
        <v>519.78211600068892</v>
      </c>
      <c r="G43" s="978">
        <f>industrie!F22</f>
        <v>2502.8783984928609</v>
      </c>
      <c r="H43" s="978">
        <f>industrie!G22</f>
        <v>0</v>
      </c>
      <c r="I43" s="978">
        <f>industrie!H22</f>
        <v>0</v>
      </c>
      <c r="J43" s="978">
        <f>industrie!I22</f>
        <v>0</v>
      </c>
      <c r="K43" s="978">
        <f>industrie!J22</f>
        <v>87.145556263666876</v>
      </c>
      <c r="L43" s="978">
        <f>industrie!K22</f>
        <v>0</v>
      </c>
      <c r="M43" s="978">
        <f>industrie!L22</f>
        <v>0</v>
      </c>
      <c r="N43" s="978">
        <f>industrie!M22</f>
        <v>0</v>
      </c>
      <c r="O43" s="978">
        <f>industrie!N22</f>
        <v>0</v>
      </c>
      <c r="P43" s="978">
        <f>industrie!O22</f>
        <v>0</v>
      </c>
      <c r="Q43" s="748">
        <f>industrie!P22</f>
        <v>0</v>
      </c>
      <c r="R43" s="823">
        <f t="shared" ca="1" si="4"/>
        <v>12798.321771369529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19894.482819430901</v>
      </c>
      <c r="D46" s="706">
        <f t="shared" ref="D46:Q46" ca="1" si="5">SUM(D39:D45)</f>
        <v>7.6386554621848752</v>
      </c>
      <c r="E46" s="706">
        <f t="shared" ca="1" si="5"/>
        <v>24080.930598510364</v>
      </c>
      <c r="F46" s="706">
        <f t="shared" si="5"/>
        <v>976.27903891414326</v>
      </c>
      <c r="G46" s="706">
        <f t="shared" ca="1" si="5"/>
        <v>4107.655925171247</v>
      </c>
      <c r="H46" s="706">
        <f t="shared" si="5"/>
        <v>0</v>
      </c>
      <c r="I46" s="706">
        <f t="shared" si="5"/>
        <v>0</v>
      </c>
      <c r="J46" s="706">
        <f t="shared" si="5"/>
        <v>0</v>
      </c>
      <c r="K46" s="706">
        <f t="shared" si="5"/>
        <v>87.145556263666876</v>
      </c>
      <c r="L46" s="706">
        <f t="shared" si="5"/>
        <v>0</v>
      </c>
      <c r="M46" s="706">
        <f t="shared" ca="1" si="5"/>
        <v>0</v>
      </c>
      <c r="N46" s="706">
        <f t="shared" si="5"/>
        <v>0</v>
      </c>
      <c r="O46" s="706">
        <f t="shared" ca="1" si="5"/>
        <v>0</v>
      </c>
      <c r="P46" s="706">
        <f t="shared" si="5"/>
        <v>0</v>
      </c>
      <c r="Q46" s="706">
        <f t="shared" si="5"/>
        <v>0</v>
      </c>
      <c r="R46" s="706">
        <f ca="1">SUM(R39:R45)</f>
        <v>49154.132593752503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253.59878723222712</v>
      </c>
      <c r="D49" s="978">
        <f ca="1">transport!C58</f>
        <v>0</v>
      </c>
      <c r="E49" s="978">
        <f>transport!D58</f>
        <v>0</v>
      </c>
      <c r="F49" s="978">
        <f>transport!E58</f>
        <v>0</v>
      </c>
      <c r="G49" s="978">
        <f>transport!F58</f>
        <v>0</v>
      </c>
      <c r="H49" s="978">
        <f>transport!G58</f>
        <v>284.82309478777319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538.42188202000034</v>
      </c>
    </row>
    <row r="50" spans="1:18">
      <c r="A50" s="799" t="s">
        <v>306</v>
      </c>
      <c r="B50" s="809"/>
      <c r="C50" s="677">
        <f ca="1">transport!B18</f>
        <v>8.5930606776983094</v>
      </c>
      <c r="D50" s="677">
        <f>transport!C18</f>
        <v>0</v>
      </c>
      <c r="E50" s="677">
        <f>transport!D18</f>
        <v>15.369949577259392</v>
      </c>
      <c r="F50" s="677">
        <f>transport!E18</f>
        <v>90.580942550734392</v>
      </c>
      <c r="G50" s="677">
        <f>transport!F18</f>
        <v>0</v>
      </c>
      <c r="H50" s="677">
        <f>transport!G18</f>
        <v>53585.846145308475</v>
      </c>
      <c r="I50" s="677">
        <f>transport!H18</f>
        <v>6683.5675876385112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60383.957685752677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262.19184790992546</v>
      </c>
      <c r="D52" s="706">
        <f t="shared" ref="D52:Q52" ca="1" si="6">SUM(D48:D51)</f>
        <v>0</v>
      </c>
      <c r="E52" s="706">
        <f t="shared" si="6"/>
        <v>15.369949577259392</v>
      </c>
      <c r="F52" s="706">
        <f t="shared" si="6"/>
        <v>90.580942550734392</v>
      </c>
      <c r="G52" s="706">
        <f t="shared" si="6"/>
        <v>0</v>
      </c>
      <c r="H52" s="706">
        <f t="shared" si="6"/>
        <v>53870.669240096249</v>
      </c>
      <c r="I52" s="706">
        <f t="shared" si="6"/>
        <v>6683.5675876385112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60922.379567772674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305.09633856603875</v>
      </c>
      <c r="D54" s="677">
        <f ca="1">+landbouw!C12</f>
        <v>10490.929411764706</v>
      </c>
      <c r="E54" s="677">
        <f>+landbouw!D12</f>
        <v>0</v>
      </c>
      <c r="F54" s="677">
        <f>+landbouw!E12</f>
        <v>8.316000496702511</v>
      </c>
      <c r="G54" s="677">
        <f>+landbouw!F12</f>
        <v>1386.5107447013077</v>
      </c>
      <c r="H54" s="677">
        <f>+landbouw!G12</f>
        <v>0</v>
      </c>
      <c r="I54" s="677">
        <f>+landbouw!H12</f>
        <v>0</v>
      </c>
      <c r="J54" s="677">
        <f>+landbouw!I12</f>
        <v>0</v>
      </c>
      <c r="K54" s="677">
        <f>+landbouw!J12</f>
        <v>72.403033545839136</v>
      </c>
      <c r="L54" s="677">
        <f>+landbouw!K12</f>
        <v>0</v>
      </c>
      <c r="M54" s="677">
        <f>+landbouw!L12</f>
        <v>0</v>
      </c>
      <c r="N54" s="677">
        <f>+landbouw!M12</f>
        <v>0</v>
      </c>
      <c r="O54" s="677">
        <f>+landbouw!N12</f>
        <v>0</v>
      </c>
      <c r="P54" s="677">
        <f>+landbouw!O12</f>
        <v>0</v>
      </c>
      <c r="Q54" s="678">
        <f>+landbouw!P12</f>
        <v>0</v>
      </c>
      <c r="R54" s="705">
        <f ca="1">SUM(C54:Q54)</f>
        <v>12263.255529074593</v>
      </c>
    </row>
    <row r="55" spans="1:18" ht="15" thickBot="1">
      <c r="A55" s="799" t="s">
        <v>834</v>
      </c>
      <c r="B55" s="809"/>
      <c r="C55" s="677">
        <f ca="1">C25*'EF ele_warmte'!B12</f>
        <v>208.09501020842771</v>
      </c>
      <c r="D55" s="677"/>
      <c r="E55" s="677">
        <f>E25*EF_CO2_aardgas</f>
        <v>536.832408461</v>
      </c>
      <c r="F55" s="677"/>
      <c r="G55" s="677"/>
      <c r="H55" s="677"/>
      <c r="I55" s="677"/>
      <c r="J55" s="677"/>
      <c r="K55" s="677"/>
      <c r="L55" s="677"/>
      <c r="M55" s="677"/>
      <c r="N55" s="677"/>
      <c r="O55" s="677"/>
      <c r="P55" s="677"/>
      <c r="Q55" s="678"/>
      <c r="R55" s="705">
        <f ca="1">SUM(C55:Q55)</f>
        <v>744.92741866942765</v>
      </c>
    </row>
    <row r="56" spans="1:18" ht="15.75" thickBot="1">
      <c r="A56" s="797" t="s">
        <v>835</v>
      </c>
      <c r="B56" s="810"/>
      <c r="C56" s="706">
        <f ca="1">SUM(C54:C55)</f>
        <v>513.19134877446641</v>
      </c>
      <c r="D56" s="706">
        <f t="shared" ref="D56:Q56" ca="1" si="7">SUM(D54:D55)</f>
        <v>10490.929411764706</v>
      </c>
      <c r="E56" s="706">
        <f t="shared" si="7"/>
        <v>536.832408461</v>
      </c>
      <c r="F56" s="706">
        <f t="shared" si="7"/>
        <v>8.316000496702511</v>
      </c>
      <c r="G56" s="706">
        <f t="shared" si="7"/>
        <v>1386.5107447013077</v>
      </c>
      <c r="H56" s="706">
        <f t="shared" si="7"/>
        <v>0</v>
      </c>
      <c r="I56" s="706">
        <f t="shared" si="7"/>
        <v>0</v>
      </c>
      <c r="J56" s="706">
        <f t="shared" si="7"/>
        <v>0</v>
      </c>
      <c r="K56" s="706">
        <f t="shared" si="7"/>
        <v>72.403033545839136</v>
      </c>
      <c r="L56" s="706">
        <f t="shared" si="7"/>
        <v>0</v>
      </c>
      <c r="M56" s="706">
        <f t="shared" si="7"/>
        <v>0</v>
      </c>
      <c r="N56" s="706">
        <f t="shared" si="7"/>
        <v>0</v>
      </c>
      <c r="O56" s="706">
        <f t="shared" si="7"/>
        <v>0</v>
      </c>
      <c r="P56" s="706">
        <f t="shared" si="7"/>
        <v>0</v>
      </c>
      <c r="Q56" s="707">
        <f t="shared" si="7"/>
        <v>0</v>
      </c>
      <c r="R56" s="708">
        <f ca="1">SUM(R54:R55)</f>
        <v>13008.182947744021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20669.866016115295</v>
      </c>
      <c r="D61" s="714">
        <f t="shared" ref="D61:Q61" ca="1" si="8">D46+D52+D56</f>
        <v>10498.56806722689</v>
      </c>
      <c r="E61" s="714">
        <f t="shared" ca="1" si="8"/>
        <v>24633.132956548623</v>
      </c>
      <c r="F61" s="714">
        <f t="shared" si="8"/>
        <v>1075.1759819615802</v>
      </c>
      <c r="G61" s="714">
        <f t="shared" ca="1" si="8"/>
        <v>5494.1666698725548</v>
      </c>
      <c r="H61" s="714">
        <f t="shared" si="8"/>
        <v>53870.669240096249</v>
      </c>
      <c r="I61" s="714">
        <f t="shared" si="8"/>
        <v>6683.5675876385112</v>
      </c>
      <c r="J61" s="714">
        <f t="shared" si="8"/>
        <v>0</v>
      </c>
      <c r="K61" s="714">
        <f t="shared" si="8"/>
        <v>159.54858980950601</v>
      </c>
      <c r="L61" s="714">
        <f t="shared" si="8"/>
        <v>0</v>
      </c>
      <c r="M61" s="714">
        <f t="shared" ca="1" si="8"/>
        <v>0</v>
      </c>
      <c r="N61" s="714">
        <f t="shared" si="8"/>
        <v>0</v>
      </c>
      <c r="O61" s="714">
        <f t="shared" ca="1" si="8"/>
        <v>0</v>
      </c>
      <c r="P61" s="714">
        <f t="shared" si="8"/>
        <v>0</v>
      </c>
      <c r="Q61" s="714">
        <f t="shared" si="8"/>
        <v>0</v>
      </c>
      <c r="R61" s="714">
        <f ca="1">R46+R52+R56</f>
        <v>123084.69510926919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0.21475091696216544</v>
      </c>
      <c r="D63" s="755">
        <f t="shared" ca="1" si="9"/>
        <v>0.23764705882352941</v>
      </c>
      <c r="E63" s="989">
        <f t="shared" ca="1" si="9"/>
        <v>0.20200000000000001</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5050.9978095116294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30924</v>
      </c>
      <c r="D76" s="999">
        <f>'lokale energieproductie'!C8</f>
        <v>36381.176470588238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7348.9976470588244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5050.9978095116294</v>
      </c>
      <c r="C78" s="729">
        <f>SUM(C72:C77)</f>
        <v>30924</v>
      </c>
      <c r="D78" s="730">
        <f t="shared" ref="D78:H78" si="10">SUM(D76:D77)</f>
        <v>36381.176470588238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7348.9976470588244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44177.142857142855</v>
      </c>
      <c r="D87" s="751">
        <f>'lokale energieproductie'!C17</f>
        <v>51973.10924369748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10498.568067226892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44177.142857142855</v>
      </c>
      <c r="D90" s="729">
        <f t="shared" ref="D90:H90" si="12">SUM(D87:D89)</f>
        <v>51973.10924369748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10498.568067226892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31930.386708299542</v>
      </c>
      <c r="C4" s="451">
        <f>huishoudens!C8</f>
        <v>0</v>
      </c>
      <c r="D4" s="451">
        <f>huishoudens!D8</f>
        <v>84347.166828957997</v>
      </c>
      <c r="E4" s="451">
        <f>huishoudens!E8</f>
        <v>1515.7466063446029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4565.6370225787678</v>
      </c>
      <c r="O4" s="451">
        <f>huishoudens!O8</f>
        <v>129.75666666666669</v>
      </c>
      <c r="P4" s="452">
        <f>huishoudens!P8</f>
        <v>209.73333333333335</v>
      </c>
      <c r="Q4" s="453">
        <f>SUM(B4:P4)</f>
        <v>122698.42716618092</v>
      </c>
    </row>
    <row r="5" spans="1:17">
      <c r="A5" s="450" t="s">
        <v>155</v>
      </c>
      <c r="B5" s="451">
        <f ca="1">tertiair!B16</f>
        <v>24730.933053980003</v>
      </c>
      <c r="C5" s="451">
        <f ca="1">tertiair!C16</f>
        <v>32.142857142857146</v>
      </c>
      <c r="D5" s="451">
        <f ca="1">tertiair!D16</f>
        <v>23788.590651925708</v>
      </c>
      <c r="E5" s="451">
        <f>tertiair!E16</f>
        <v>495.25305406709003</v>
      </c>
      <c r="F5" s="451">
        <f ca="1">tertiair!F16</f>
        <v>6010.4027216418945</v>
      </c>
      <c r="G5" s="451">
        <f>tertiair!G16</f>
        <v>0</v>
      </c>
      <c r="H5" s="451">
        <f>tertiair!H16</f>
        <v>0</v>
      </c>
      <c r="I5" s="451">
        <f>tertiair!I16</f>
        <v>0</v>
      </c>
      <c r="J5" s="451">
        <f>tertiair!J16</f>
        <v>0</v>
      </c>
      <c r="K5" s="451">
        <f>tertiair!K16</f>
        <v>0</v>
      </c>
      <c r="L5" s="451">
        <f ca="1">tertiair!L16</f>
        <v>0</v>
      </c>
      <c r="M5" s="451">
        <f>tertiair!M16</f>
        <v>0</v>
      </c>
      <c r="N5" s="451">
        <f ca="1">tertiair!N16</f>
        <v>2619.4619056199945</v>
      </c>
      <c r="O5" s="451">
        <f>tertiair!O16</f>
        <v>1.5633333333333335</v>
      </c>
      <c r="P5" s="452">
        <f>tertiair!P16</f>
        <v>19.066666666666666</v>
      </c>
      <c r="Q5" s="450">
        <f t="shared" ref="Q5:Q14" ca="1" si="0">SUM(B5:P5)</f>
        <v>57697.414244377549</v>
      </c>
    </row>
    <row r="6" spans="1:17">
      <c r="A6" s="450" t="s">
        <v>193</v>
      </c>
      <c r="B6" s="451">
        <f>'openbare verlichting'!B8</f>
        <v>1282.4361118000002</v>
      </c>
      <c r="C6" s="451"/>
      <c r="D6" s="451"/>
      <c r="E6" s="451"/>
      <c r="F6" s="451"/>
      <c r="G6" s="451"/>
      <c r="H6" s="451"/>
      <c r="I6" s="451"/>
      <c r="J6" s="451"/>
      <c r="K6" s="451"/>
      <c r="L6" s="451"/>
      <c r="M6" s="451"/>
      <c r="N6" s="451"/>
      <c r="O6" s="451"/>
      <c r="P6" s="452"/>
      <c r="Q6" s="450">
        <f t="shared" si="0"/>
        <v>1282.4361118000002</v>
      </c>
    </row>
    <row r="7" spans="1:17">
      <c r="A7" s="450" t="s">
        <v>111</v>
      </c>
      <c r="B7" s="451">
        <f>landbouw!B8</f>
        <v>1420.6986535000001</v>
      </c>
      <c r="C7" s="451">
        <f>landbouw!C8</f>
        <v>44145</v>
      </c>
      <c r="D7" s="451">
        <f>landbouw!D8</f>
        <v>0</v>
      </c>
      <c r="E7" s="451">
        <f>landbouw!E8</f>
        <v>36.634363421596966</v>
      </c>
      <c r="F7" s="451">
        <f>landbouw!F8</f>
        <v>5192.9241374580806</v>
      </c>
      <c r="G7" s="451">
        <f>landbouw!G8</f>
        <v>0</v>
      </c>
      <c r="H7" s="451">
        <f>landbouw!H8</f>
        <v>0</v>
      </c>
      <c r="I7" s="451">
        <f>landbouw!I8</f>
        <v>0</v>
      </c>
      <c r="J7" s="451">
        <f>landbouw!J8</f>
        <v>204.52834334982808</v>
      </c>
      <c r="K7" s="451">
        <f>landbouw!K8</f>
        <v>0</v>
      </c>
      <c r="L7" s="451">
        <f>landbouw!L8</f>
        <v>0</v>
      </c>
      <c r="M7" s="451">
        <f>landbouw!M8</f>
        <v>0</v>
      </c>
      <c r="N7" s="451">
        <f>landbouw!N8</f>
        <v>0</v>
      </c>
      <c r="O7" s="451">
        <f>landbouw!O8</f>
        <v>0</v>
      </c>
      <c r="P7" s="452">
        <f>landbouw!P8</f>
        <v>0</v>
      </c>
      <c r="Q7" s="450">
        <f t="shared" si="0"/>
        <v>50999.785497729506</v>
      </c>
    </row>
    <row r="8" spans="1:17">
      <c r="A8" s="450" t="s">
        <v>637</v>
      </c>
      <c r="B8" s="451">
        <f>industrie!B18</f>
        <v>34696.047954725</v>
      </c>
      <c r="C8" s="451">
        <f>industrie!C18</f>
        <v>0</v>
      </c>
      <c r="D8" s="451">
        <f>industrie!D18</f>
        <v>11076.770234514115</v>
      </c>
      <c r="E8" s="451">
        <f>industrie!E18</f>
        <v>2289.7890572717574</v>
      </c>
      <c r="F8" s="451">
        <f>industrie!F18</f>
        <v>9374.0763988496656</v>
      </c>
      <c r="G8" s="451">
        <f>industrie!G18</f>
        <v>0</v>
      </c>
      <c r="H8" s="451">
        <f>industrie!H18</f>
        <v>0</v>
      </c>
      <c r="I8" s="451">
        <f>industrie!I18</f>
        <v>0</v>
      </c>
      <c r="J8" s="451">
        <f>industrie!J18</f>
        <v>246.17388775047141</v>
      </c>
      <c r="K8" s="451">
        <f>industrie!K18</f>
        <v>0</v>
      </c>
      <c r="L8" s="451">
        <f>industrie!L18</f>
        <v>0</v>
      </c>
      <c r="M8" s="451">
        <f>industrie!M18</f>
        <v>0</v>
      </c>
      <c r="N8" s="451">
        <f>industrie!N18</f>
        <v>2065.3879321693835</v>
      </c>
      <c r="O8" s="451">
        <f>industrie!O18</f>
        <v>0</v>
      </c>
      <c r="P8" s="452">
        <f>industrie!P18</f>
        <v>0</v>
      </c>
      <c r="Q8" s="450">
        <f t="shared" si="0"/>
        <v>59748.245465280386</v>
      </c>
    </row>
    <row r="9" spans="1:17" s="456" customFormat="1">
      <c r="A9" s="454" t="s">
        <v>563</v>
      </c>
      <c r="B9" s="455">
        <f>transport!B14</f>
        <v>40.014081426307598</v>
      </c>
      <c r="C9" s="455">
        <f>transport!C14</f>
        <v>0</v>
      </c>
      <c r="D9" s="455">
        <f>transport!D14</f>
        <v>76.088859293363328</v>
      </c>
      <c r="E9" s="455">
        <f>transport!E14</f>
        <v>399.03498921028364</v>
      </c>
      <c r="F9" s="455">
        <f>transport!F14</f>
        <v>0</v>
      </c>
      <c r="G9" s="455">
        <f>transport!G14</f>
        <v>200696.05297868341</v>
      </c>
      <c r="H9" s="455">
        <f>transport!H14</f>
        <v>26841.636898146633</v>
      </c>
      <c r="I9" s="455">
        <f>transport!I14</f>
        <v>0</v>
      </c>
      <c r="J9" s="455">
        <f>transport!J14</f>
        <v>0</v>
      </c>
      <c r="K9" s="455">
        <f>transport!K14</f>
        <v>0</v>
      </c>
      <c r="L9" s="455">
        <f>transport!L14</f>
        <v>0</v>
      </c>
      <c r="M9" s="455">
        <f>transport!M14</f>
        <v>7118.3031932545273</v>
      </c>
      <c r="N9" s="455">
        <f>transport!N14</f>
        <v>0</v>
      </c>
      <c r="O9" s="455">
        <f>transport!O14</f>
        <v>0</v>
      </c>
      <c r="P9" s="455">
        <f>transport!P14</f>
        <v>0</v>
      </c>
      <c r="Q9" s="454">
        <f>SUM(B9:P9)</f>
        <v>235171.13100001449</v>
      </c>
    </row>
    <row r="10" spans="1:17">
      <c r="A10" s="450" t="s">
        <v>553</v>
      </c>
      <c r="B10" s="451">
        <f>transport!B54</f>
        <v>1180.8973429291846</v>
      </c>
      <c r="C10" s="451">
        <f>transport!C54</f>
        <v>0</v>
      </c>
      <c r="D10" s="451">
        <f>transport!D54</f>
        <v>0</v>
      </c>
      <c r="E10" s="451">
        <f>transport!E54</f>
        <v>0</v>
      </c>
      <c r="F10" s="451">
        <f>transport!F54</f>
        <v>0</v>
      </c>
      <c r="G10" s="451">
        <f>transport!G54</f>
        <v>1066.7531639991505</v>
      </c>
      <c r="H10" s="451">
        <f>transport!H54</f>
        <v>0</v>
      </c>
      <c r="I10" s="451">
        <f>transport!I54</f>
        <v>0</v>
      </c>
      <c r="J10" s="451">
        <f>transport!J54</f>
        <v>0</v>
      </c>
      <c r="K10" s="451">
        <f>transport!K54</f>
        <v>0</v>
      </c>
      <c r="L10" s="451">
        <f>transport!L54</f>
        <v>0</v>
      </c>
      <c r="M10" s="451">
        <f>transport!M54</f>
        <v>33.046527060256302</v>
      </c>
      <c r="N10" s="451">
        <f>transport!N54</f>
        <v>0</v>
      </c>
      <c r="O10" s="451">
        <f>transport!O54</f>
        <v>0</v>
      </c>
      <c r="P10" s="452">
        <f>transport!P54</f>
        <v>0</v>
      </c>
      <c r="Q10" s="450">
        <f t="shared" si="0"/>
        <v>2280.6970339885911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969.00638727</v>
      </c>
      <c r="C14" s="458"/>
      <c r="D14" s="458">
        <f>'SEAP template'!E25</f>
        <v>2657.5861805</v>
      </c>
      <c r="E14" s="458"/>
      <c r="F14" s="458"/>
      <c r="G14" s="458"/>
      <c r="H14" s="458"/>
      <c r="I14" s="458"/>
      <c r="J14" s="458"/>
      <c r="K14" s="458"/>
      <c r="L14" s="458"/>
      <c r="M14" s="458"/>
      <c r="N14" s="458"/>
      <c r="O14" s="458"/>
      <c r="P14" s="459"/>
      <c r="Q14" s="450">
        <f t="shared" si="0"/>
        <v>3626.5925677699997</v>
      </c>
    </row>
    <row r="15" spans="1:17" s="460" customFormat="1">
      <c r="A15" s="1004" t="s">
        <v>557</v>
      </c>
      <c r="B15" s="944">
        <f ca="1">SUM(B4:B14)</f>
        <v>96250.420293930045</v>
      </c>
      <c r="C15" s="944">
        <f t="shared" ref="C15:Q15" ca="1" si="1">SUM(C4:C14)</f>
        <v>44177.142857142855</v>
      </c>
      <c r="D15" s="944">
        <f t="shared" ca="1" si="1"/>
        <v>121946.20275519119</v>
      </c>
      <c r="E15" s="944">
        <f t="shared" si="1"/>
        <v>4736.4580703153315</v>
      </c>
      <c r="F15" s="944">
        <f t="shared" ca="1" si="1"/>
        <v>20577.403257949642</v>
      </c>
      <c r="G15" s="944">
        <f t="shared" si="1"/>
        <v>201762.80614268256</v>
      </c>
      <c r="H15" s="944">
        <f t="shared" si="1"/>
        <v>26841.636898146633</v>
      </c>
      <c r="I15" s="944">
        <f t="shared" si="1"/>
        <v>0</v>
      </c>
      <c r="J15" s="944">
        <f t="shared" si="1"/>
        <v>450.70223110029951</v>
      </c>
      <c r="K15" s="944">
        <f t="shared" si="1"/>
        <v>0</v>
      </c>
      <c r="L15" s="944">
        <f t="shared" ca="1" si="1"/>
        <v>0</v>
      </c>
      <c r="M15" s="944">
        <f t="shared" si="1"/>
        <v>7151.3497203147836</v>
      </c>
      <c r="N15" s="944">
        <f t="shared" ca="1" si="1"/>
        <v>9250.4868603681462</v>
      </c>
      <c r="O15" s="944">
        <f t="shared" si="1"/>
        <v>131.32000000000002</v>
      </c>
      <c r="P15" s="944">
        <f t="shared" si="1"/>
        <v>228.8</v>
      </c>
      <c r="Q15" s="944">
        <f t="shared" ca="1" si="1"/>
        <v>533504.72908714134</v>
      </c>
    </row>
    <row r="17" spans="1:17">
      <c r="A17" s="461" t="s">
        <v>558</v>
      </c>
      <c r="B17" s="760">
        <f ca="1">huishoudens!B10</f>
        <v>0.21475091696216544</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6857.0798245638662</v>
      </c>
      <c r="C22" s="451">
        <f t="shared" ref="C22:C32" ca="1" si="3">C4*$C$17</f>
        <v>0</v>
      </c>
      <c r="D22" s="451">
        <f t="shared" ref="D22:D32" si="4">D4*$D$17</f>
        <v>17038.127699449517</v>
      </c>
      <c r="E22" s="451">
        <f t="shared" ref="E22:E32" si="5">E4*$E$17</f>
        <v>344.07447964022487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24239.282003653607</v>
      </c>
    </row>
    <row r="23" spans="1:17">
      <c r="A23" s="450" t="s">
        <v>155</v>
      </c>
      <c r="B23" s="451">
        <f t="shared" ca="1" si="2"/>
        <v>5310.9905506721325</v>
      </c>
      <c r="C23" s="451">
        <f t="shared" ca="1" si="3"/>
        <v>7.6386554621848752</v>
      </c>
      <c r="D23" s="451">
        <f t="shared" ca="1" si="4"/>
        <v>4805.295311688993</v>
      </c>
      <c r="E23" s="451">
        <f t="shared" si="5"/>
        <v>112.42244327322945</v>
      </c>
      <c r="F23" s="451">
        <f t="shared" ca="1" si="6"/>
        <v>1604.7775266783858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11841.124487774927</v>
      </c>
    </row>
    <row r="24" spans="1:17">
      <c r="A24" s="450" t="s">
        <v>193</v>
      </c>
      <c r="B24" s="451">
        <f t="shared" ca="1" si="2"/>
        <v>275.40433095444416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275.40433095444416</v>
      </c>
    </row>
    <row r="25" spans="1:17">
      <c r="A25" s="450" t="s">
        <v>111</v>
      </c>
      <c r="B25" s="451">
        <f t="shared" ca="1" si="2"/>
        <v>305.09633856603875</v>
      </c>
      <c r="C25" s="451">
        <f t="shared" ca="1" si="3"/>
        <v>10490.929411764706</v>
      </c>
      <c r="D25" s="451">
        <f t="shared" si="4"/>
        <v>0</v>
      </c>
      <c r="E25" s="451">
        <f t="shared" si="5"/>
        <v>8.316000496702511</v>
      </c>
      <c r="F25" s="451">
        <f t="shared" si="6"/>
        <v>1386.5107447013077</v>
      </c>
      <c r="G25" s="451">
        <f t="shared" si="7"/>
        <v>0</v>
      </c>
      <c r="H25" s="451">
        <f t="shared" si="8"/>
        <v>0</v>
      </c>
      <c r="I25" s="451">
        <f t="shared" si="9"/>
        <v>0</v>
      </c>
      <c r="J25" s="451">
        <f t="shared" si="10"/>
        <v>72.403033545839136</v>
      </c>
      <c r="K25" s="451">
        <f t="shared" si="11"/>
        <v>0</v>
      </c>
      <c r="L25" s="451">
        <f t="shared" si="12"/>
        <v>0</v>
      </c>
      <c r="M25" s="451">
        <f t="shared" si="13"/>
        <v>0</v>
      </c>
      <c r="N25" s="451">
        <f t="shared" si="14"/>
        <v>0</v>
      </c>
      <c r="O25" s="451">
        <f t="shared" si="15"/>
        <v>0</v>
      </c>
      <c r="P25" s="452">
        <f t="shared" si="16"/>
        <v>0</v>
      </c>
      <c r="Q25" s="450">
        <f t="shared" ca="1" si="17"/>
        <v>12263.255529074593</v>
      </c>
    </row>
    <row r="26" spans="1:17">
      <c r="A26" s="450" t="s">
        <v>637</v>
      </c>
      <c r="B26" s="451">
        <f t="shared" ca="1" si="2"/>
        <v>7451.0081132404584</v>
      </c>
      <c r="C26" s="451">
        <f t="shared" ca="1" si="3"/>
        <v>0</v>
      </c>
      <c r="D26" s="451">
        <f t="shared" si="4"/>
        <v>2237.5075873718515</v>
      </c>
      <c r="E26" s="451">
        <f t="shared" si="5"/>
        <v>519.78211600068892</v>
      </c>
      <c r="F26" s="451">
        <f t="shared" si="6"/>
        <v>2502.8783984928609</v>
      </c>
      <c r="G26" s="451">
        <f t="shared" si="7"/>
        <v>0</v>
      </c>
      <c r="H26" s="451">
        <f t="shared" si="8"/>
        <v>0</v>
      </c>
      <c r="I26" s="451">
        <f t="shared" si="9"/>
        <v>0</v>
      </c>
      <c r="J26" s="451">
        <f t="shared" si="10"/>
        <v>87.145556263666876</v>
      </c>
      <c r="K26" s="451">
        <f t="shared" si="11"/>
        <v>0</v>
      </c>
      <c r="L26" s="451">
        <f t="shared" si="12"/>
        <v>0</v>
      </c>
      <c r="M26" s="451">
        <f t="shared" si="13"/>
        <v>0</v>
      </c>
      <c r="N26" s="451">
        <f t="shared" si="14"/>
        <v>0</v>
      </c>
      <c r="O26" s="451">
        <f t="shared" si="15"/>
        <v>0</v>
      </c>
      <c r="P26" s="452">
        <f t="shared" si="16"/>
        <v>0</v>
      </c>
      <c r="Q26" s="450">
        <f t="shared" ca="1" si="17"/>
        <v>12798.321771369529</v>
      </c>
    </row>
    <row r="27" spans="1:17" s="456" customFormat="1">
      <c r="A27" s="454" t="s">
        <v>563</v>
      </c>
      <c r="B27" s="754">
        <f t="shared" ca="1" si="2"/>
        <v>8.5930606776983094</v>
      </c>
      <c r="C27" s="455">
        <f t="shared" ca="1" si="3"/>
        <v>0</v>
      </c>
      <c r="D27" s="455">
        <f t="shared" si="4"/>
        <v>15.369949577259392</v>
      </c>
      <c r="E27" s="455">
        <f t="shared" si="5"/>
        <v>90.580942550734392</v>
      </c>
      <c r="F27" s="455">
        <f t="shared" si="6"/>
        <v>0</v>
      </c>
      <c r="G27" s="455">
        <f t="shared" si="7"/>
        <v>53585.846145308475</v>
      </c>
      <c r="H27" s="455">
        <f t="shared" si="8"/>
        <v>6683.5675876385112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60383.957685752677</v>
      </c>
    </row>
    <row r="28" spans="1:17">
      <c r="A28" s="450" t="s">
        <v>553</v>
      </c>
      <c r="B28" s="451">
        <f t="shared" ca="1" si="2"/>
        <v>253.59878723222712</v>
      </c>
      <c r="C28" s="451">
        <f t="shared" ca="1" si="3"/>
        <v>0</v>
      </c>
      <c r="D28" s="451">
        <f t="shared" si="4"/>
        <v>0</v>
      </c>
      <c r="E28" s="451">
        <f t="shared" si="5"/>
        <v>0</v>
      </c>
      <c r="F28" s="451">
        <f t="shared" si="6"/>
        <v>0</v>
      </c>
      <c r="G28" s="451">
        <f t="shared" si="7"/>
        <v>284.82309478777319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538.42188202000034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208.09501020842771</v>
      </c>
      <c r="C32" s="451">
        <f t="shared" ca="1" si="3"/>
        <v>0</v>
      </c>
      <c r="D32" s="451">
        <f t="shared" si="4"/>
        <v>536.832408461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744.92741866942765</v>
      </c>
    </row>
    <row r="33" spans="1:17" s="460" customFormat="1">
      <c r="A33" s="1004" t="s">
        <v>557</v>
      </c>
      <c r="B33" s="944">
        <f ca="1">SUM(B22:B32)</f>
        <v>20669.866016115295</v>
      </c>
      <c r="C33" s="944">
        <f t="shared" ref="C33:Q33" ca="1" si="18">SUM(C22:C32)</f>
        <v>10498.56806722689</v>
      </c>
      <c r="D33" s="944">
        <f t="shared" ca="1" si="18"/>
        <v>24633.132956548623</v>
      </c>
      <c r="E33" s="944">
        <f t="shared" si="18"/>
        <v>1075.1759819615802</v>
      </c>
      <c r="F33" s="944">
        <f t="shared" ca="1" si="18"/>
        <v>5494.1666698725548</v>
      </c>
      <c r="G33" s="944">
        <f t="shared" si="18"/>
        <v>53870.669240096249</v>
      </c>
      <c r="H33" s="944">
        <f t="shared" si="18"/>
        <v>6683.5675876385112</v>
      </c>
      <c r="I33" s="944">
        <f t="shared" si="18"/>
        <v>0</v>
      </c>
      <c r="J33" s="944">
        <f t="shared" si="18"/>
        <v>159.54858980950601</v>
      </c>
      <c r="K33" s="944">
        <f t="shared" si="18"/>
        <v>0</v>
      </c>
      <c r="L33" s="944">
        <f t="shared" ca="1" si="18"/>
        <v>0</v>
      </c>
      <c r="M33" s="944">
        <f t="shared" si="18"/>
        <v>0</v>
      </c>
      <c r="N33" s="944">
        <f t="shared" ca="1" si="18"/>
        <v>0</v>
      </c>
      <c r="O33" s="944">
        <f t="shared" si="18"/>
        <v>0</v>
      </c>
      <c r="P33" s="944">
        <f t="shared" si="18"/>
        <v>0</v>
      </c>
      <c r="Q33" s="944">
        <f t="shared" ca="1" si="18"/>
        <v>123084.6951092692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5050.9978095116294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30924</v>
      </c>
      <c r="D8" s="1021">
        <f>'SEAP template'!D76</f>
        <v>36381.176470588238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7348.9976470588244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5050.9978095116294</v>
      </c>
      <c r="C10" s="1025">
        <f>SUM(C4:C9)</f>
        <v>30924</v>
      </c>
      <c r="D10" s="1025">
        <f t="shared" ref="D10:H10" si="0">SUM(D8:D9)</f>
        <v>36381.176470588238</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7348.9976470588244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0.21475091696216544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44177.142857142855</v>
      </c>
      <c r="D17" s="1022">
        <f>'SEAP template'!D87</f>
        <v>51973.10924369748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10498.568067226892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44177.142857142855</v>
      </c>
      <c r="D20" s="1025">
        <f t="shared" ref="D20:H20" si="2">SUM(D17:D19)</f>
        <v>51973.10924369748</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10498.568067226892</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0.21475091696216544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0.21475091696216544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0.21475091696216544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8131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366.45</v>
      </c>
      <c r="C14" s="330"/>
      <c r="D14" s="330"/>
      <c r="E14" s="330"/>
      <c r="F14" s="330"/>
    </row>
    <row r="15" spans="1:6">
      <c r="A15" s="1291" t="s">
        <v>183</v>
      </c>
      <c r="B15" s="1292">
        <v>1</v>
      </c>
      <c r="C15" s="330"/>
      <c r="D15" s="330"/>
      <c r="E15" s="330"/>
      <c r="F15" s="330"/>
    </row>
    <row r="16" spans="1:6">
      <c r="A16" s="1291" t="s">
        <v>6</v>
      </c>
      <c r="B16" s="1292">
        <v>27</v>
      </c>
      <c r="C16" s="330"/>
      <c r="D16" s="330"/>
      <c r="E16" s="330"/>
      <c r="F16" s="330"/>
    </row>
    <row r="17" spans="1:6">
      <c r="A17" s="1291" t="s">
        <v>7</v>
      </c>
      <c r="B17" s="1292">
        <v>21</v>
      </c>
      <c r="C17" s="330"/>
      <c r="D17" s="330"/>
      <c r="E17" s="330"/>
      <c r="F17" s="330"/>
    </row>
    <row r="18" spans="1:6">
      <c r="A18" s="1291" t="s">
        <v>8</v>
      </c>
      <c r="B18" s="1292">
        <v>28</v>
      </c>
      <c r="C18" s="330"/>
      <c r="D18" s="330"/>
      <c r="E18" s="330"/>
      <c r="F18" s="330"/>
    </row>
    <row r="19" spans="1:6">
      <c r="A19" s="1291" t="s">
        <v>9</v>
      </c>
      <c r="B19" s="1292">
        <v>29</v>
      </c>
      <c r="C19" s="330"/>
      <c r="D19" s="330"/>
      <c r="E19" s="330"/>
      <c r="F19" s="330"/>
    </row>
    <row r="20" spans="1:6">
      <c r="A20" s="1291" t="s">
        <v>10</v>
      </c>
      <c r="B20" s="1292">
        <v>9</v>
      </c>
      <c r="C20" s="330"/>
      <c r="D20" s="330"/>
      <c r="E20" s="330"/>
      <c r="F20" s="330"/>
    </row>
    <row r="21" spans="1:6">
      <c r="A21" s="1291" t="s">
        <v>11</v>
      </c>
      <c r="B21" s="1292">
        <v>107</v>
      </c>
      <c r="C21" s="330"/>
      <c r="D21" s="330"/>
      <c r="E21" s="330"/>
      <c r="F21" s="330"/>
    </row>
    <row r="22" spans="1:6">
      <c r="A22" s="1291" t="s">
        <v>12</v>
      </c>
      <c r="B22" s="1292">
        <v>884</v>
      </c>
      <c r="C22" s="330"/>
      <c r="D22" s="330"/>
      <c r="E22" s="330"/>
      <c r="F22" s="330"/>
    </row>
    <row r="23" spans="1:6">
      <c r="A23" s="1291" t="s">
        <v>13</v>
      </c>
      <c r="B23" s="1292">
        <v>5</v>
      </c>
      <c r="C23" s="330"/>
      <c r="D23" s="330"/>
      <c r="E23" s="330"/>
      <c r="F23" s="330"/>
    </row>
    <row r="24" spans="1:6">
      <c r="A24" s="1291" t="s">
        <v>14</v>
      </c>
      <c r="B24" s="1292">
        <v>1</v>
      </c>
      <c r="C24" s="330"/>
      <c r="D24" s="330"/>
      <c r="E24" s="330"/>
      <c r="F24" s="330"/>
    </row>
    <row r="25" spans="1:6">
      <c r="A25" s="1291" t="s">
        <v>15</v>
      </c>
      <c r="B25" s="1292">
        <v>35</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18</v>
      </c>
      <c r="C29" s="336"/>
      <c r="D29" s="336"/>
      <c r="E29" s="336"/>
      <c r="F29" s="336"/>
    </row>
    <row r="30" spans="1:6">
      <c r="A30" s="1286" t="s">
        <v>893</v>
      </c>
      <c r="B30" s="1295">
        <v>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6</v>
      </c>
      <c r="D36" s="1292">
        <v>44099671.343000002</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4</v>
      </c>
      <c r="F38" s="1292">
        <v>80627.872214999996</v>
      </c>
    </row>
    <row r="39" spans="1:6">
      <c r="A39" s="1291" t="s">
        <v>29</v>
      </c>
      <c r="B39" s="1291" t="s">
        <v>30</v>
      </c>
      <c r="C39" s="1292">
        <v>6647</v>
      </c>
      <c r="D39" s="1292">
        <v>93511271.429000005</v>
      </c>
      <c r="E39" s="1292">
        <v>8143</v>
      </c>
      <c r="F39" s="1292">
        <v>29917041.581</v>
      </c>
    </row>
    <row r="40" spans="1:6">
      <c r="A40" s="1291" t="s">
        <v>29</v>
      </c>
      <c r="B40" s="1291" t="s">
        <v>28</v>
      </c>
      <c r="C40" s="1292">
        <v>0</v>
      </c>
      <c r="D40" s="1292">
        <v>0</v>
      </c>
      <c r="E40" s="1292">
        <v>0</v>
      </c>
      <c r="F40" s="1292">
        <v>0</v>
      </c>
    </row>
    <row r="41" spans="1:6">
      <c r="A41" s="1291" t="s">
        <v>31</v>
      </c>
      <c r="B41" s="1291" t="s">
        <v>32</v>
      </c>
      <c r="C41" s="1292">
        <v>25</v>
      </c>
      <c r="D41" s="1292">
        <v>2291062.5219000001</v>
      </c>
      <c r="E41" s="1292">
        <v>64</v>
      </c>
      <c r="F41" s="1292">
        <v>2240996.4674999998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1736175.4975000001</v>
      </c>
    </row>
    <row r="45" spans="1:6">
      <c r="A45" s="1291" t="s">
        <v>31</v>
      </c>
      <c r="B45" s="1291" t="s">
        <v>36</v>
      </c>
      <c r="C45" s="1292">
        <v>0</v>
      </c>
      <c r="D45" s="1292">
        <v>0</v>
      </c>
      <c r="E45" s="1292">
        <v>6</v>
      </c>
      <c r="F45" s="1292">
        <v>50502.523112000003</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29</v>
      </c>
      <c r="D48" s="1292">
        <v>9374023.5709000006</v>
      </c>
      <c r="E48" s="1292">
        <v>26</v>
      </c>
      <c r="F48" s="1292">
        <v>30357905.478</v>
      </c>
    </row>
    <row r="49" spans="1:6">
      <c r="A49" s="1291" t="s">
        <v>31</v>
      </c>
      <c r="B49" s="1291" t="s">
        <v>39</v>
      </c>
      <c r="C49" s="1292">
        <v>3</v>
      </c>
      <c r="D49" s="1292">
        <v>68096.515887999994</v>
      </c>
      <c r="E49" s="1292">
        <v>3</v>
      </c>
      <c r="F49" s="1292">
        <v>49048.201142999998</v>
      </c>
    </row>
    <row r="50" spans="1:6">
      <c r="A50" s="1291" t="s">
        <v>31</v>
      </c>
      <c r="B50" s="1291" t="s">
        <v>40</v>
      </c>
      <c r="C50" s="1292">
        <v>5</v>
      </c>
      <c r="D50" s="1292">
        <v>547050.46727000002</v>
      </c>
      <c r="E50" s="1292">
        <v>7</v>
      </c>
      <c r="F50" s="1292">
        <v>261419.78747000001</v>
      </c>
    </row>
    <row r="51" spans="1:6">
      <c r="A51" s="1291" t="s">
        <v>41</v>
      </c>
      <c r="B51" s="1291" t="s">
        <v>42</v>
      </c>
      <c r="C51" s="1292">
        <v>8</v>
      </c>
      <c r="D51" s="1292">
        <v>95052769.277999997</v>
      </c>
      <c r="E51" s="1292">
        <v>28</v>
      </c>
      <c r="F51" s="1292">
        <v>1420696.6535</v>
      </c>
    </row>
    <row r="52" spans="1:6">
      <c r="A52" s="1291" t="s">
        <v>41</v>
      </c>
      <c r="B52" s="1291" t="s">
        <v>28</v>
      </c>
      <c r="C52" s="1292">
        <v>5</v>
      </c>
      <c r="D52" s="1292">
        <v>89168.833509000004</v>
      </c>
      <c r="E52" s="1292">
        <v>1</v>
      </c>
      <c r="F52" s="1292">
        <v>2</v>
      </c>
    </row>
    <row r="53" spans="1:6">
      <c r="A53" s="1291" t="s">
        <v>43</v>
      </c>
      <c r="B53" s="1291" t="s">
        <v>44</v>
      </c>
      <c r="C53" s="1292">
        <v>156</v>
      </c>
      <c r="D53" s="1292">
        <v>2657586.1804999998</v>
      </c>
      <c r="E53" s="1292">
        <v>326</v>
      </c>
      <c r="F53" s="1292">
        <v>969006.38726999995</v>
      </c>
    </row>
    <row r="54" spans="1:6">
      <c r="A54" s="1291" t="s">
        <v>45</v>
      </c>
      <c r="B54" s="1291" t="s">
        <v>46</v>
      </c>
      <c r="C54" s="1292">
        <v>0</v>
      </c>
      <c r="D54" s="1292">
        <v>0</v>
      </c>
      <c r="E54" s="1292">
        <v>4</v>
      </c>
      <c r="F54" s="1292">
        <v>1282436.1118000001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47</v>
      </c>
      <c r="D57" s="1292">
        <v>2597080.4556999998</v>
      </c>
      <c r="E57" s="1292">
        <v>86</v>
      </c>
      <c r="F57" s="1292">
        <v>2681808.6727</v>
      </c>
    </row>
    <row r="58" spans="1:6">
      <c r="A58" s="1291" t="s">
        <v>48</v>
      </c>
      <c r="B58" s="1291" t="s">
        <v>50</v>
      </c>
      <c r="C58" s="1292">
        <v>22</v>
      </c>
      <c r="D58" s="1292">
        <v>581025.37942000001</v>
      </c>
      <c r="E58" s="1292">
        <v>28</v>
      </c>
      <c r="F58" s="1292">
        <v>286285.66712</v>
      </c>
    </row>
    <row r="59" spans="1:6">
      <c r="A59" s="1291" t="s">
        <v>48</v>
      </c>
      <c r="B59" s="1291" t="s">
        <v>51</v>
      </c>
      <c r="C59" s="1292">
        <v>87</v>
      </c>
      <c r="D59" s="1292">
        <v>5151185.7026000004</v>
      </c>
      <c r="E59" s="1292">
        <v>146</v>
      </c>
      <c r="F59" s="1292">
        <v>8407215.9449000005</v>
      </c>
    </row>
    <row r="60" spans="1:6">
      <c r="A60" s="1291" t="s">
        <v>48</v>
      </c>
      <c r="B60" s="1291" t="s">
        <v>52</v>
      </c>
      <c r="C60" s="1292">
        <v>54</v>
      </c>
      <c r="D60" s="1292">
        <v>1824952.0863000001</v>
      </c>
      <c r="E60" s="1292">
        <v>64</v>
      </c>
      <c r="F60" s="1292">
        <v>1440655.4828000001</v>
      </c>
    </row>
    <row r="61" spans="1:6">
      <c r="A61" s="1291" t="s">
        <v>48</v>
      </c>
      <c r="B61" s="1291" t="s">
        <v>53</v>
      </c>
      <c r="C61" s="1292">
        <v>108</v>
      </c>
      <c r="D61" s="1292">
        <v>8446464.6919999998</v>
      </c>
      <c r="E61" s="1292">
        <v>302</v>
      </c>
      <c r="F61" s="1292">
        <v>6177787.9784000004</v>
      </c>
    </row>
    <row r="62" spans="1:6">
      <c r="A62" s="1291" t="s">
        <v>48</v>
      </c>
      <c r="B62" s="1291" t="s">
        <v>54</v>
      </c>
      <c r="C62" s="1292">
        <v>3</v>
      </c>
      <c r="D62" s="1292">
        <v>617606.61008999997</v>
      </c>
      <c r="E62" s="1292">
        <v>6</v>
      </c>
      <c r="F62" s="1292">
        <v>210050.80846</v>
      </c>
    </row>
    <row r="63" spans="1:6">
      <c r="A63" s="1291" t="s">
        <v>48</v>
      </c>
      <c r="B63" s="1291" t="s">
        <v>28</v>
      </c>
      <c r="C63" s="1292">
        <v>89</v>
      </c>
      <c r="D63" s="1292">
        <v>7226115.6350999996</v>
      </c>
      <c r="E63" s="1292">
        <v>98</v>
      </c>
      <c r="F63" s="1292">
        <v>5504628.4995999997</v>
      </c>
    </row>
    <row r="64" spans="1:6">
      <c r="A64" s="1291" t="s">
        <v>55</v>
      </c>
      <c r="B64" s="1291" t="s">
        <v>56</v>
      </c>
      <c r="C64" s="1292">
        <v>0</v>
      </c>
      <c r="D64" s="1292">
        <v>0</v>
      </c>
      <c r="E64" s="1292">
        <v>0</v>
      </c>
      <c r="F64" s="1292">
        <v>0</v>
      </c>
    </row>
    <row r="65" spans="1:6">
      <c r="A65" s="1291" t="s">
        <v>55</v>
      </c>
      <c r="B65" s="1291" t="s">
        <v>28</v>
      </c>
      <c r="C65" s="1292">
        <v>3</v>
      </c>
      <c r="D65" s="1292">
        <v>32816.864016</v>
      </c>
      <c r="E65" s="1292">
        <v>6</v>
      </c>
      <c r="F65" s="1292">
        <v>634412.08868000004</v>
      </c>
    </row>
    <row r="66" spans="1:6">
      <c r="A66" s="1291" t="s">
        <v>55</v>
      </c>
      <c r="B66" s="1291" t="s">
        <v>57</v>
      </c>
      <c r="C66" s="1292">
        <v>0</v>
      </c>
      <c r="D66" s="1292">
        <v>0</v>
      </c>
      <c r="E66" s="1292">
        <v>14</v>
      </c>
      <c r="F66" s="1292">
        <v>714775.39595999999</v>
      </c>
    </row>
    <row r="67" spans="1:6">
      <c r="A67" s="1293" t="s">
        <v>55</v>
      </c>
      <c r="B67" s="1293" t="s">
        <v>58</v>
      </c>
      <c r="C67" s="1292">
        <v>0</v>
      </c>
      <c r="D67" s="1292">
        <v>0</v>
      </c>
      <c r="E67" s="1292">
        <v>0</v>
      </c>
      <c r="F67" s="1292">
        <v>0</v>
      </c>
    </row>
    <row r="68" spans="1:6">
      <c r="A68" s="1286" t="s">
        <v>55</v>
      </c>
      <c r="B68" s="1286" t="s">
        <v>59</v>
      </c>
      <c r="C68" s="1295">
        <v>3</v>
      </c>
      <c r="D68" s="1295">
        <v>207082.83442</v>
      </c>
      <c r="E68" s="1295">
        <v>5</v>
      </c>
      <c r="F68" s="1295">
        <v>226993.97458000001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41643817</v>
      </c>
      <c r="E73" s="449"/>
      <c r="F73" s="330"/>
    </row>
    <row r="74" spans="1:6">
      <c r="A74" s="1291" t="s">
        <v>63</v>
      </c>
      <c r="B74" s="1291" t="s">
        <v>664</v>
      </c>
      <c r="C74" s="1305" t="s">
        <v>666</v>
      </c>
      <c r="D74" s="1306">
        <v>3653822.6567784753</v>
      </c>
      <c r="E74" s="449"/>
      <c r="F74" s="330"/>
    </row>
    <row r="75" spans="1:6">
      <c r="A75" s="1291" t="s">
        <v>64</v>
      </c>
      <c r="B75" s="1291" t="s">
        <v>663</v>
      </c>
      <c r="C75" s="1305" t="s">
        <v>667</v>
      </c>
      <c r="D75" s="1306">
        <v>14099967</v>
      </c>
      <c r="E75" s="449"/>
      <c r="F75" s="330"/>
    </row>
    <row r="76" spans="1:6">
      <c r="A76" s="1291" t="s">
        <v>64</v>
      </c>
      <c r="B76" s="1291" t="s">
        <v>664</v>
      </c>
      <c r="C76" s="1305" t="s">
        <v>668</v>
      </c>
      <c r="D76" s="1306">
        <v>1939708.6567784755</v>
      </c>
      <c r="E76" s="449"/>
      <c r="F76" s="330"/>
    </row>
    <row r="77" spans="1:6">
      <c r="A77" s="1291" t="s">
        <v>65</v>
      </c>
      <c r="B77" s="1291" t="s">
        <v>663</v>
      </c>
      <c r="C77" s="1305" t="s">
        <v>669</v>
      </c>
      <c r="D77" s="1306">
        <v>138733287</v>
      </c>
      <c r="E77" s="449"/>
      <c r="F77" s="330"/>
    </row>
    <row r="78" spans="1:6">
      <c r="A78" s="1286" t="s">
        <v>65</v>
      </c>
      <c r="B78" s="1286" t="s">
        <v>664</v>
      </c>
      <c r="C78" s="1286" t="s">
        <v>670</v>
      </c>
      <c r="D78" s="1307">
        <v>32940647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298412.68644304917</v>
      </c>
      <c r="C83" s="449"/>
      <c r="D83" s="330"/>
      <c r="E83" s="330"/>
      <c r="F83" s="330"/>
    </row>
    <row r="84" spans="1:6">
      <c r="A84" s="1286" t="s">
        <v>336</v>
      </c>
      <c r="B84" s="1307">
        <v>335006.33841962682</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2013.3451272995405</v>
      </c>
      <c r="C91" s="330"/>
      <c r="D91" s="330"/>
      <c r="E91" s="330"/>
      <c r="F91" s="330"/>
    </row>
    <row r="92" spans="1:6">
      <c r="A92" s="1286" t="s">
        <v>68</v>
      </c>
      <c r="B92" s="1287">
        <v>3037.6526822120886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5156</v>
      </c>
      <c r="C97" s="330"/>
      <c r="D97" s="330"/>
      <c r="E97" s="330"/>
      <c r="F97" s="330"/>
    </row>
    <row r="98" spans="1:6">
      <c r="A98" s="1291" t="s">
        <v>71</v>
      </c>
      <c r="B98" s="1292">
        <v>14</v>
      </c>
      <c r="C98" s="330"/>
      <c r="D98" s="330"/>
      <c r="E98" s="330"/>
      <c r="F98" s="330"/>
    </row>
    <row r="99" spans="1:6">
      <c r="A99" s="1291" t="s">
        <v>72</v>
      </c>
      <c r="B99" s="1292">
        <v>13</v>
      </c>
      <c r="C99" s="330"/>
      <c r="D99" s="330"/>
      <c r="E99" s="330"/>
      <c r="F99" s="330"/>
    </row>
    <row r="100" spans="1:6">
      <c r="A100" s="1291" t="s">
        <v>73</v>
      </c>
      <c r="B100" s="1292">
        <v>969</v>
      </c>
      <c r="C100" s="330"/>
      <c r="D100" s="330"/>
      <c r="E100" s="330"/>
      <c r="F100" s="330"/>
    </row>
    <row r="101" spans="1:6">
      <c r="A101" s="1291" t="s">
        <v>74</v>
      </c>
      <c r="B101" s="1292">
        <v>49</v>
      </c>
      <c r="C101" s="330"/>
      <c r="D101" s="330"/>
      <c r="E101" s="330"/>
      <c r="F101" s="330"/>
    </row>
    <row r="102" spans="1:6">
      <c r="A102" s="1291" t="s">
        <v>75</v>
      </c>
      <c r="B102" s="1292">
        <v>101</v>
      </c>
      <c r="C102" s="330"/>
      <c r="D102" s="330"/>
      <c r="E102" s="330"/>
      <c r="F102" s="330"/>
    </row>
    <row r="103" spans="1:6">
      <c r="A103" s="1291" t="s">
        <v>76</v>
      </c>
      <c r="B103" s="1292">
        <v>138</v>
      </c>
      <c r="C103" s="330"/>
      <c r="D103" s="330"/>
      <c r="E103" s="330"/>
      <c r="F103" s="330"/>
    </row>
    <row r="104" spans="1:6">
      <c r="A104" s="1291" t="s">
        <v>77</v>
      </c>
      <c r="B104" s="1292">
        <v>696</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4</v>
      </c>
      <c r="C123" s="1292">
        <v>13</v>
      </c>
      <c r="D123" s="330"/>
      <c r="E123" s="330"/>
      <c r="F123" s="330"/>
    </row>
    <row r="124" spans="1:6" s="43" customFormat="1">
      <c r="A124" s="1293" t="s">
        <v>88</v>
      </c>
      <c r="B124" s="1314">
        <v>2</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68</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96250.420293930045</v>
      </c>
      <c r="C3" s="43" t="s">
        <v>169</v>
      </c>
      <c r="D3" s="43"/>
      <c r="E3" s="154"/>
      <c r="F3" s="43"/>
      <c r="G3" s="43"/>
      <c r="H3" s="43"/>
      <c r="I3" s="43"/>
      <c r="J3" s="43"/>
      <c r="K3" s="96"/>
    </row>
    <row r="4" spans="1:11">
      <c r="A4" s="358" t="s">
        <v>170</v>
      </c>
      <c r="B4" s="49">
        <f>IF(ISERROR('SEAP template'!B78+'SEAP template'!C78),0,'SEAP template'!B78+'SEAP template'!C78)</f>
        <v>35974.997809511631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7348.9976470588244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0.21475091696216544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10498.568067226892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44177.142857142855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1282.4361118000002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1282.4361118000002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0.21475091696216544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275.40433095444416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29917.041581000001</v>
      </c>
      <c r="C5" s="17">
        <f>IF(ISERROR('Eigen informatie GS &amp; warmtenet'!B57),0,'Eigen informatie GS &amp; warmtenet'!B57)</f>
        <v>0</v>
      </c>
      <c r="D5" s="30">
        <f>(SUM(HH_hh_gas_kWh,HH_rest_gas_kWh)/1000)*0.902</f>
        <v>84347.166828957997</v>
      </c>
      <c r="E5" s="17">
        <f>B46*B57</f>
        <v>1515.7466063446029</v>
      </c>
      <c r="F5" s="17">
        <f>B51*B62</f>
        <v>0</v>
      </c>
      <c r="G5" s="18"/>
      <c r="H5" s="17"/>
      <c r="I5" s="17"/>
      <c r="J5" s="17">
        <f>B50*B61+C50*C61</f>
        <v>0</v>
      </c>
      <c r="K5" s="17"/>
      <c r="L5" s="17"/>
      <c r="M5" s="17"/>
      <c r="N5" s="17">
        <f>B48*B59+C48*C59</f>
        <v>4565.6370225787678</v>
      </c>
      <c r="O5" s="17">
        <f>B69*B70*B71</f>
        <v>129.75666666666669</v>
      </c>
      <c r="P5" s="17">
        <f>B77*B78*B79/1000-B77*B78*B79/1000/B80</f>
        <v>209.73333333333335</v>
      </c>
    </row>
    <row r="6" spans="1:16">
      <c r="A6" s="16" t="s">
        <v>623</v>
      </c>
      <c r="B6" s="762">
        <f>kWh_PV_kleiner_dan_10kW</f>
        <v>2013.3451272995405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31930.386708299542</v>
      </c>
      <c r="C8" s="21">
        <f>C5</f>
        <v>0</v>
      </c>
      <c r="D8" s="21">
        <f>D5</f>
        <v>84347.166828957997</v>
      </c>
      <c r="E8" s="21">
        <f>E5</f>
        <v>1515.7466063446029</v>
      </c>
      <c r="F8" s="21">
        <f>F5</f>
        <v>0</v>
      </c>
      <c r="G8" s="21"/>
      <c r="H8" s="21"/>
      <c r="I8" s="21"/>
      <c r="J8" s="21">
        <f>J5</f>
        <v>0</v>
      </c>
      <c r="K8" s="21"/>
      <c r="L8" s="21">
        <f>L5</f>
        <v>0</v>
      </c>
      <c r="M8" s="21">
        <f>M5</f>
        <v>0</v>
      </c>
      <c r="N8" s="21">
        <f>N5</f>
        <v>4565.6370225787678</v>
      </c>
      <c r="O8" s="21">
        <f>O5</f>
        <v>129.75666666666669</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0.21475091696216544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6857.0798245638662</v>
      </c>
      <c r="C12" s="23">
        <f ca="1">C10*C8</f>
        <v>0</v>
      </c>
      <c r="D12" s="23">
        <f>D8*D10</f>
        <v>17038.127699449517</v>
      </c>
      <c r="E12" s="23">
        <f>E10*E8</f>
        <v>344.07447964022487</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5156</v>
      </c>
      <c r="C18" s="166" t="s">
        <v>110</v>
      </c>
      <c r="D18" s="228"/>
      <c r="E18" s="15"/>
    </row>
    <row r="19" spans="1:7">
      <c r="A19" s="171" t="s">
        <v>71</v>
      </c>
      <c r="B19" s="37">
        <f>aantalw2001_ander</f>
        <v>14</v>
      </c>
      <c r="C19" s="166" t="s">
        <v>110</v>
      </c>
      <c r="D19" s="229"/>
      <c r="E19" s="15"/>
    </row>
    <row r="20" spans="1:7">
      <c r="A20" s="171" t="s">
        <v>72</v>
      </c>
      <c r="B20" s="37">
        <f>aantalw2001_propaan</f>
        <v>13</v>
      </c>
      <c r="C20" s="167">
        <f>IF(ISERROR(B20/SUM($B$20,$B$21,$B$22)*100),0,B20/SUM($B$20,$B$21,$B$22)*100)</f>
        <v>1.2609117361784674</v>
      </c>
      <c r="D20" s="229"/>
      <c r="E20" s="15"/>
    </row>
    <row r="21" spans="1:7">
      <c r="A21" s="171" t="s">
        <v>73</v>
      </c>
      <c r="B21" s="37">
        <f>aantalw2001_elektriciteit</f>
        <v>969</v>
      </c>
      <c r="C21" s="167">
        <f>IF(ISERROR(B21/SUM($B$20,$B$21,$B$22)*100),0,B21/SUM($B$20,$B$21,$B$22)*100)</f>
        <v>93.986420950533471</v>
      </c>
      <c r="D21" s="229"/>
      <c r="E21" s="15"/>
    </row>
    <row r="22" spans="1:7">
      <c r="A22" s="171" t="s">
        <v>74</v>
      </c>
      <c r="B22" s="37">
        <f>aantalw2001_hout</f>
        <v>49</v>
      </c>
      <c r="C22" s="167">
        <f>IF(ISERROR(B22/SUM($B$20,$B$21,$B$22)*100),0,B22/SUM($B$20,$B$21,$B$22)*100)</f>
        <v>4.7526673132880699</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696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8131</v>
      </c>
      <c r="C28" s="36"/>
      <c r="D28" s="228"/>
    </row>
    <row r="29" spans="1:7" s="15" customFormat="1">
      <c r="A29" s="230" t="s">
        <v>696</v>
      </c>
      <c r="B29" s="37">
        <f>SUM(HH_hh_gas_aantal,HH_rest_gas_aantal)</f>
        <v>6647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6647</v>
      </c>
      <c r="C32" s="167">
        <f>IF(ISERROR(B32/SUM($B$32,$B$34,$B$35,$B$36,$B$38,$B$39)*100),0,B32/SUM($B$32,$B$34,$B$35,$B$36,$B$38,$B$39)*100)</f>
        <v>81.859605911330064</v>
      </c>
      <c r="D32" s="233"/>
      <c r="G32" s="15"/>
    </row>
    <row r="33" spans="1:7">
      <c r="A33" s="171" t="s">
        <v>71</v>
      </c>
      <c r="B33" s="34" t="s">
        <v>110</v>
      </c>
      <c r="C33" s="167"/>
      <c r="D33" s="233"/>
      <c r="G33" s="15"/>
    </row>
    <row r="34" spans="1:7">
      <c r="A34" s="171" t="s">
        <v>72</v>
      </c>
      <c r="B34" s="33">
        <f>IF((($B$28-$B$32-$B$39-$B$77-$B$38)*C20/100)&lt;0,0,($B$28-$B$32-$B$39-$B$77-$B$38)*C20/100)</f>
        <v>18.573229873908826</v>
      </c>
      <c r="C34" s="167">
        <f>IF(ISERROR(B34/SUM($B$32,$B$34,$B$35,$B$36,$B$38,$B$39)*100),0,B34/SUM($B$32,$B$34,$B$35,$B$36,$B$38,$B$39)*100)</f>
        <v>0.22873435805306438</v>
      </c>
      <c r="D34" s="233"/>
      <c r="G34" s="15"/>
    </row>
    <row r="35" spans="1:7">
      <c r="A35" s="171" t="s">
        <v>73</v>
      </c>
      <c r="B35" s="33">
        <f>IF((($B$28-$B$32-$B$39-$B$77-$B$38)*C21/100)&lt;0,0,($B$28-$B$32-$B$39-$B$77-$B$38)*C21/100)</f>
        <v>1384.419980601358</v>
      </c>
      <c r="C35" s="167">
        <f>IF(ISERROR(B35/SUM($B$32,$B$34,$B$35,$B$36,$B$38,$B$39)*100),0,B35/SUM($B$32,$B$34,$B$35,$B$36,$B$38,$B$39)*100)</f>
        <v>17.049507150263032</v>
      </c>
      <c r="D35" s="233"/>
      <c r="G35" s="15"/>
    </row>
    <row r="36" spans="1:7">
      <c r="A36" s="171" t="s">
        <v>74</v>
      </c>
      <c r="B36" s="33">
        <f>IF((($B$28-$B$32-$B$39-$B$77-$B$38)*C22/100)&lt;0,0,($B$28-$B$32-$B$39-$B$77-$B$38)*C22/100)</f>
        <v>70.006789524733264</v>
      </c>
      <c r="C36" s="167">
        <f>IF(ISERROR(B36/SUM($B$32,$B$34,$B$35,$B$36,$B$38,$B$39)*100),0,B36/SUM($B$32,$B$34,$B$35,$B$36,$B$38,$B$39)*100)</f>
        <v>0.86215258035385811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6647</v>
      </c>
      <c r="C44" s="34" t="s">
        <v>110</v>
      </c>
      <c r="D44" s="174"/>
    </row>
    <row r="45" spans="1:7">
      <c r="A45" s="171" t="s">
        <v>71</v>
      </c>
      <c r="B45" s="33" t="str">
        <f t="shared" si="0"/>
        <v>-</v>
      </c>
      <c r="C45" s="34" t="s">
        <v>110</v>
      </c>
      <c r="D45" s="174"/>
    </row>
    <row r="46" spans="1:7">
      <c r="A46" s="171" t="s">
        <v>72</v>
      </c>
      <c r="B46" s="33">
        <f t="shared" si="0"/>
        <v>18.573229873908826</v>
      </c>
      <c r="C46" s="34" t="s">
        <v>110</v>
      </c>
      <c r="D46" s="174"/>
    </row>
    <row r="47" spans="1:7">
      <c r="A47" s="171" t="s">
        <v>73</v>
      </c>
      <c r="B47" s="33">
        <f t="shared" si="0"/>
        <v>1384.419980601358</v>
      </c>
      <c r="C47" s="34" t="s">
        <v>110</v>
      </c>
      <c r="D47" s="174"/>
    </row>
    <row r="48" spans="1:7">
      <c r="A48" s="171" t="s">
        <v>74</v>
      </c>
      <c r="B48" s="33">
        <f t="shared" si="0"/>
        <v>70.006789524733264</v>
      </c>
      <c r="C48" s="33">
        <f>B48*10</f>
        <v>700.06789524733267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24708.433053980003</v>
      </c>
      <c r="C5" s="17">
        <f>IF(ISERROR('Eigen informatie GS &amp; warmtenet'!B58),0,'Eigen informatie GS &amp; warmtenet'!B58)</f>
        <v>0</v>
      </c>
      <c r="D5" s="30">
        <f>SUM(D6:D12)</f>
        <v>23852.876366211422</v>
      </c>
      <c r="E5" s="17">
        <f>SUM(E6:E12)</f>
        <v>495.25305406709003</v>
      </c>
      <c r="F5" s="17">
        <f>SUM(F6:F12)</f>
        <v>6010.4027216418945</v>
      </c>
      <c r="G5" s="18"/>
      <c r="H5" s="17"/>
      <c r="I5" s="17"/>
      <c r="J5" s="17">
        <f>SUM(J6:J12)</f>
        <v>0</v>
      </c>
      <c r="K5" s="17"/>
      <c r="L5" s="17"/>
      <c r="M5" s="17"/>
      <c r="N5" s="17">
        <f>SUM(N6:N12)</f>
        <v>2619.4619056199945</v>
      </c>
      <c r="O5" s="17">
        <f>B38*B39*B40</f>
        <v>1.5633333333333335</v>
      </c>
      <c r="P5" s="17">
        <f>B46*B47*B48/1000-B46*B47*B48/1000/B49</f>
        <v>19.066666666666666</v>
      </c>
      <c r="R5" s="32"/>
    </row>
    <row r="6" spans="1:18">
      <c r="A6" s="32" t="s">
        <v>53</v>
      </c>
      <c r="B6" s="37">
        <f>B26</f>
        <v>6177.7879784000006</v>
      </c>
      <c r="C6" s="33"/>
      <c r="D6" s="37">
        <f>IF(ISERROR(TER_kantoor_gas_kWh/1000),0,TER_kantoor_gas_kWh/1000)*0.902</f>
        <v>7618.7111521839997</v>
      </c>
      <c r="E6" s="33">
        <f>$C$26*'E Balans VL '!I12/100/3.6*1000000</f>
        <v>80.874854568574719</v>
      </c>
      <c r="F6" s="33">
        <f>$C$26*('E Balans VL '!L12+'E Balans VL '!N12)/100/3.6*1000000</f>
        <v>1575.2720956157259</v>
      </c>
      <c r="G6" s="34"/>
      <c r="H6" s="33"/>
      <c r="I6" s="33"/>
      <c r="J6" s="33">
        <f>$C$26*('E Balans VL '!D12+'E Balans VL '!E12)/100/3.6*1000000</f>
        <v>0</v>
      </c>
      <c r="K6" s="33"/>
      <c r="L6" s="33"/>
      <c r="M6" s="33"/>
      <c r="N6" s="33">
        <f>$C$26*'E Balans VL '!Y12/100/3.6*1000000</f>
        <v>6.1985913485175832</v>
      </c>
      <c r="O6" s="33"/>
      <c r="P6" s="33"/>
      <c r="R6" s="32"/>
    </row>
    <row r="7" spans="1:18">
      <c r="A7" s="32" t="s">
        <v>52</v>
      </c>
      <c r="B7" s="37">
        <f t="shared" ref="B7:B12" si="0">B27</f>
        <v>1440.6554828000001</v>
      </c>
      <c r="C7" s="33"/>
      <c r="D7" s="37">
        <f>IF(ISERROR(TER_horeca_gas_kWh/1000),0,TER_horeca_gas_kWh/1000)*0.902</f>
        <v>1646.1067818426</v>
      </c>
      <c r="E7" s="33">
        <f>$C$27*'E Balans VL '!I9/100/3.6*1000000</f>
        <v>47.676933267348367</v>
      </c>
      <c r="F7" s="33">
        <f>$C$27*('E Balans VL '!L9+'E Balans VL '!N9)/100/3.6*1000000</f>
        <v>619.47633634340946</v>
      </c>
      <c r="G7" s="34"/>
      <c r="H7" s="33"/>
      <c r="I7" s="33"/>
      <c r="J7" s="33">
        <f>$C$27*('E Balans VL '!D9+'E Balans VL '!E9)/100/3.6*1000000</f>
        <v>0</v>
      </c>
      <c r="K7" s="33"/>
      <c r="L7" s="33"/>
      <c r="M7" s="33"/>
      <c r="N7" s="33">
        <f>$C$27*'E Balans VL '!Y9/100/3.6*1000000</f>
        <v>0.34678669532341683</v>
      </c>
      <c r="O7" s="33"/>
      <c r="P7" s="33"/>
      <c r="R7" s="32"/>
    </row>
    <row r="8" spans="1:18">
      <c r="A8" s="6" t="s">
        <v>51</v>
      </c>
      <c r="B8" s="37">
        <f t="shared" si="0"/>
        <v>8407.215944900001</v>
      </c>
      <c r="C8" s="33"/>
      <c r="D8" s="37">
        <f>IF(ISERROR(TER_handel_gas_kWh/1000),0,TER_handel_gas_kWh/1000)*0.902</f>
        <v>4646.3695037452007</v>
      </c>
      <c r="E8" s="33">
        <f>$C$28*'E Balans VL '!I13/100/3.6*1000000</f>
        <v>265.34458106463092</v>
      </c>
      <c r="F8" s="33">
        <f>$C$28*('E Balans VL '!L13+'E Balans VL '!N13)/100/3.6*1000000</f>
        <v>1648.8030886764247</v>
      </c>
      <c r="G8" s="34"/>
      <c r="H8" s="33"/>
      <c r="I8" s="33"/>
      <c r="J8" s="33">
        <f>$C$28*('E Balans VL '!D13+'E Balans VL '!E13)/100/3.6*1000000</f>
        <v>0</v>
      </c>
      <c r="K8" s="33"/>
      <c r="L8" s="33"/>
      <c r="M8" s="33"/>
      <c r="N8" s="33">
        <f>$C$28*'E Balans VL '!Y13/100/3.6*1000000</f>
        <v>9.9777330856587501</v>
      </c>
      <c r="O8" s="33"/>
      <c r="P8" s="33"/>
      <c r="R8" s="32"/>
    </row>
    <row r="9" spans="1:18">
      <c r="A9" s="32" t="s">
        <v>50</v>
      </c>
      <c r="B9" s="37">
        <f t="shared" si="0"/>
        <v>286.28566711999997</v>
      </c>
      <c r="C9" s="33"/>
      <c r="D9" s="37">
        <f>IF(ISERROR(TER_gezond_gas_kWh/1000),0,TER_gezond_gas_kWh/1000)*0.902</f>
        <v>524.08489223684001</v>
      </c>
      <c r="E9" s="33">
        <f>$C$29*'E Balans VL '!I10/100/3.6*1000000</f>
        <v>3.6652940492723787E-2</v>
      </c>
      <c r="F9" s="33">
        <f>$C$29*('E Balans VL '!L10+'E Balans VL '!N10)/100/3.6*1000000</f>
        <v>59.64530379306435</v>
      </c>
      <c r="G9" s="34"/>
      <c r="H9" s="33"/>
      <c r="I9" s="33"/>
      <c r="J9" s="33">
        <f>$C$29*('E Balans VL '!D10+'E Balans VL '!E10)/100/3.6*1000000</f>
        <v>0</v>
      </c>
      <c r="K9" s="33"/>
      <c r="L9" s="33"/>
      <c r="M9" s="33"/>
      <c r="N9" s="33">
        <f>$C$29*'E Balans VL '!Y10/100/3.6*1000000</f>
        <v>3.3625604767201618</v>
      </c>
      <c r="O9" s="33"/>
      <c r="P9" s="33"/>
      <c r="R9" s="32"/>
    </row>
    <row r="10" spans="1:18">
      <c r="A10" s="32" t="s">
        <v>49</v>
      </c>
      <c r="B10" s="37">
        <f t="shared" si="0"/>
        <v>2681.8086727</v>
      </c>
      <c r="C10" s="33"/>
      <c r="D10" s="37">
        <f>IF(ISERROR(TER_ander_gas_kWh/1000),0,TER_ander_gas_kWh/1000)*0.902</f>
        <v>2342.5665710413996</v>
      </c>
      <c r="E10" s="33">
        <f>$C$30*'E Balans VL '!I14/100/3.6*1000000</f>
        <v>4.0328095746275938</v>
      </c>
      <c r="F10" s="33">
        <f>$C$30*('E Balans VL '!L14+'E Balans VL '!N14)/100/3.6*1000000</f>
        <v>592.05690791039797</v>
      </c>
      <c r="G10" s="34"/>
      <c r="H10" s="33"/>
      <c r="I10" s="33"/>
      <c r="J10" s="33">
        <f>$C$30*('E Balans VL '!D14+'E Balans VL '!E14)/100/3.6*1000000</f>
        <v>0</v>
      </c>
      <c r="K10" s="33"/>
      <c r="L10" s="33"/>
      <c r="M10" s="33"/>
      <c r="N10" s="33">
        <f>$C$30*'E Balans VL '!Y14/100/3.6*1000000</f>
        <v>2113.4457130065402</v>
      </c>
      <c r="O10" s="33"/>
      <c r="P10" s="33"/>
      <c r="R10" s="32"/>
    </row>
    <row r="11" spans="1:18">
      <c r="A11" s="32" t="s">
        <v>54</v>
      </c>
      <c r="B11" s="37">
        <f t="shared" si="0"/>
        <v>210.05080846000001</v>
      </c>
      <c r="C11" s="33"/>
      <c r="D11" s="37">
        <f>IF(ISERROR(TER_onderwijs_gas_kWh/1000),0,TER_onderwijs_gas_kWh/1000)*0.902</f>
        <v>557.08116230118003</v>
      </c>
      <c r="E11" s="33">
        <f>$C$31*'E Balans VL '!I11/100/3.6*1000000</f>
        <v>0.36991707589496459</v>
      </c>
      <c r="F11" s="33">
        <f>$C$31*('E Balans VL '!L11+'E Balans VL '!N11)/100/3.6*1000000</f>
        <v>96.984259129074729</v>
      </c>
      <c r="G11" s="34"/>
      <c r="H11" s="33"/>
      <c r="I11" s="33"/>
      <c r="J11" s="33">
        <f>$C$31*('E Balans VL '!D11+'E Balans VL '!E11)/100/3.6*1000000</f>
        <v>0</v>
      </c>
      <c r="K11" s="33"/>
      <c r="L11" s="33"/>
      <c r="M11" s="33"/>
      <c r="N11" s="33">
        <f>$C$31*'E Balans VL '!Y11/100/3.6*1000000</f>
        <v>0.39132756090712828</v>
      </c>
      <c r="O11" s="33"/>
      <c r="P11" s="33"/>
      <c r="R11" s="32"/>
    </row>
    <row r="12" spans="1:18">
      <c r="A12" s="32" t="s">
        <v>259</v>
      </c>
      <c r="B12" s="37">
        <f t="shared" si="0"/>
        <v>5504.6284995999995</v>
      </c>
      <c r="C12" s="33"/>
      <c r="D12" s="37">
        <f>IF(ISERROR(TER_rest_gas_kWh/1000),0,TER_rest_gas_kWh/1000)*0.902</f>
        <v>6517.9563028602006</v>
      </c>
      <c r="E12" s="33">
        <f>$C$32*'E Balans VL '!I8/100/3.6*1000000</f>
        <v>96.917305575520757</v>
      </c>
      <c r="F12" s="33">
        <f>$C$32*('E Balans VL '!L8+'E Balans VL '!N8)/100/3.6*1000000</f>
        <v>1418.164730173798</v>
      </c>
      <c r="G12" s="34"/>
      <c r="H12" s="33"/>
      <c r="I12" s="33"/>
      <c r="J12" s="33">
        <f>$C$32*('E Balans VL '!D8+'E Balans VL '!E8)/100/3.6*1000000</f>
        <v>0</v>
      </c>
      <c r="K12" s="33"/>
      <c r="L12" s="33"/>
      <c r="M12" s="33"/>
      <c r="N12" s="33">
        <f>$C$32*'E Balans VL '!Y8/100/3.6*1000000</f>
        <v>485.73919344632691</v>
      </c>
      <c r="O12" s="33"/>
      <c r="P12" s="33"/>
      <c r="R12" s="32"/>
    </row>
    <row r="13" spans="1:18">
      <c r="A13" s="16" t="s">
        <v>490</v>
      </c>
      <c r="B13" s="247">
        <f ca="1">'lokale energieproductie'!N40+'lokale energieproductie'!N33</f>
        <v>22.5</v>
      </c>
      <c r="C13" s="247">
        <f ca="1">'lokale energieproductie'!O40+'lokale energieproductie'!O33</f>
        <v>32.142857142857146</v>
      </c>
      <c r="D13" s="308">
        <f ca="1">('lokale energieproductie'!P33+'lokale energieproductie'!P40)*(-1)</f>
        <v>-64.285714285714292</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24730.933053980003</v>
      </c>
      <c r="C16" s="21">
        <f t="shared" ca="1" si="1"/>
        <v>32.142857142857146</v>
      </c>
      <c r="D16" s="21">
        <f t="shared" ca="1" si="1"/>
        <v>23788.590651925708</v>
      </c>
      <c r="E16" s="21">
        <f t="shared" si="1"/>
        <v>495.25305406709003</v>
      </c>
      <c r="F16" s="21">
        <f t="shared" ca="1" si="1"/>
        <v>6010.4027216418945</v>
      </c>
      <c r="G16" s="21">
        <f t="shared" si="1"/>
        <v>0</v>
      </c>
      <c r="H16" s="21">
        <f t="shared" si="1"/>
        <v>0</v>
      </c>
      <c r="I16" s="21">
        <f t="shared" si="1"/>
        <v>0</v>
      </c>
      <c r="J16" s="21">
        <f t="shared" si="1"/>
        <v>0</v>
      </c>
      <c r="K16" s="21">
        <f t="shared" si="1"/>
        <v>0</v>
      </c>
      <c r="L16" s="21">
        <f t="shared" ca="1" si="1"/>
        <v>0</v>
      </c>
      <c r="M16" s="21">
        <f t="shared" si="1"/>
        <v>0</v>
      </c>
      <c r="N16" s="21">
        <f t="shared" ca="1" si="1"/>
        <v>2619.4619056199945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0.21475091696216544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5310.9905506721325</v>
      </c>
      <c r="C20" s="23">
        <f t="shared" ref="C20:P20" ca="1" si="2">C16*C18</f>
        <v>7.6386554621848752</v>
      </c>
      <c r="D20" s="23">
        <f t="shared" ca="1" si="2"/>
        <v>4805.295311688993</v>
      </c>
      <c r="E20" s="23">
        <f t="shared" si="2"/>
        <v>112.42244327322945</v>
      </c>
      <c r="F20" s="23">
        <f t="shared" ca="1" si="2"/>
        <v>1604.7775266783858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6177.7879784000006</v>
      </c>
      <c r="C26" s="39">
        <f>IF(ISERROR(B26*3.6/1000000/'E Balans VL '!Z12*100),0,B26*3.6/1000000/'E Balans VL '!Z12*100)</f>
        <v>0.13233301783392451</v>
      </c>
      <c r="D26" s="237" t="s">
        <v>659</v>
      </c>
      <c r="F26" s="6"/>
    </row>
    <row r="27" spans="1:18">
      <c r="A27" s="231" t="s">
        <v>52</v>
      </c>
      <c r="B27" s="33">
        <f>IF(ISERROR(TER_horeca_ele_kWh/1000),0,TER_horeca_ele_kWh/1000)</f>
        <v>1440.6554828000001</v>
      </c>
      <c r="C27" s="39">
        <f>IF(ISERROR(B27*3.6/1000000/'E Balans VL '!Z9*100),0,B27*3.6/1000000/'E Balans VL '!Z9*100)</f>
        <v>0.1156075948273559</v>
      </c>
      <c r="D27" s="237" t="s">
        <v>659</v>
      </c>
      <c r="F27" s="6"/>
    </row>
    <row r="28" spans="1:18">
      <c r="A28" s="171" t="s">
        <v>51</v>
      </c>
      <c r="B28" s="33">
        <f>IF(ISERROR(TER_handel_ele_kWh/1000),0,TER_handel_ele_kWh/1000)</f>
        <v>8407.215944900001</v>
      </c>
      <c r="C28" s="39">
        <f>IF(ISERROR(B28*3.6/1000000/'E Balans VL '!Z13*100),0,B28*3.6/1000000/'E Balans VL '!Z13*100)</f>
        <v>0.2479646485073041</v>
      </c>
      <c r="D28" s="237" t="s">
        <v>659</v>
      </c>
      <c r="F28" s="6"/>
    </row>
    <row r="29" spans="1:18">
      <c r="A29" s="231" t="s">
        <v>50</v>
      </c>
      <c r="B29" s="33">
        <f>IF(ISERROR(TER_gezond_ele_kWh/1000),0,TER_gezond_ele_kWh/1000)</f>
        <v>286.28566711999997</v>
      </c>
      <c r="C29" s="39">
        <f>IF(ISERROR(B29*3.6/1000000/'E Balans VL '!Z10*100),0,B29*3.6/1000000/'E Balans VL '!Z10*100)</f>
        <v>3.0567633641847631E-2</v>
      </c>
      <c r="D29" s="237" t="s">
        <v>659</v>
      </c>
      <c r="F29" s="6"/>
    </row>
    <row r="30" spans="1:18">
      <c r="A30" s="231" t="s">
        <v>49</v>
      </c>
      <c r="B30" s="33">
        <f>IF(ISERROR(TER_ander_ele_kWh/1000),0,TER_ander_ele_kWh/1000)</f>
        <v>2681.8086727</v>
      </c>
      <c r="C30" s="39">
        <f>IF(ISERROR(B30*3.6/1000000/'E Balans VL '!Z14*100),0,B30*3.6/1000000/'E Balans VL '!Z14*100)</f>
        <v>0.20256754008690167</v>
      </c>
      <c r="D30" s="237" t="s">
        <v>659</v>
      </c>
      <c r="F30" s="6"/>
    </row>
    <row r="31" spans="1:18">
      <c r="A31" s="231" t="s">
        <v>54</v>
      </c>
      <c r="B31" s="33">
        <f>IF(ISERROR(TER_onderwijs_ele_kWh/1000),0,TER_onderwijs_ele_kWh/1000)</f>
        <v>210.05080846000001</v>
      </c>
      <c r="C31" s="39">
        <f>IF(ISERROR(B31*3.6/1000000/'E Balans VL '!Z11*100),0,B31*3.6/1000000/'E Balans VL '!Z11*100)</f>
        <v>4.2416270265769843E-2</v>
      </c>
      <c r="D31" s="237" t="s">
        <v>659</v>
      </c>
    </row>
    <row r="32" spans="1:18">
      <c r="A32" s="231" t="s">
        <v>259</v>
      </c>
      <c r="B32" s="33">
        <f>IF(ISERROR(TER_rest_ele_kWh/1000),0,TER_rest_ele_kWh/1000)</f>
        <v>5504.6284995999995</v>
      </c>
      <c r="C32" s="39">
        <f>IF(ISERROR(B32*3.6/1000000/'E Balans VL '!Z8*100),0,B32*3.6/1000000/'E Balans VL '!Z8*100)</f>
        <v>4.5641035401572445E-2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34696.047954725</v>
      </c>
      <c r="C5" s="17">
        <f>IF(ISERROR('Eigen informatie GS &amp; warmtenet'!B59),0,'Eigen informatie GS &amp; warmtenet'!B59)</f>
        <v>0</v>
      </c>
      <c r="D5" s="30">
        <f>SUM(D6:D15)</f>
        <v>11076.770234514115</v>
      </c>
      <c r="E5" s="17">
        <f>SUM(E6:E15)</f>
        <v>2289.7890572717574</v>
      </c>
      <c r="F5" s="17">
        <f>SUM(F6:F15)</f>
        <v>9374.0763988496656</v>
      </c>
      <c r="G5" s="18"/>
      <c r="H5" s="17"/>
      <c r="I5" s="17"/>
      <c r="J5" s="17">
        <f>SUM(J6:J15)</f>
        <v>246.17388775047141</v>
      </c>
      <c r="K5" s="17"/>
      <c r="L5" s="17"/>
      <c r="M5" s="17"/>
      <c r="N5" s="17">
        <f>SUM(N6:N15)</f>
        <v>2065.3879321693835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1736.1754975000001</v>
      </c>
      <c r="C8" s="33"/>
      <c r="D8" s="37">
        <f>IF( ISERROR(IND_metaal_Gas_kWH/1000),0,IND_metaal_Gas_kWH/1000)*0.902</f>
        <v>0</v>
      </c>
      <c r="E8" s="33">
        <f>C30*'E Balans VL '!I18/100/3.6*1000000</f>
        <v>62.472846686971991</v>
      </c>
      <c r="F8" s="33">
        <f>C30*'E Balans VL '!L18/100/3.6*1000000+C30*'E Balans VL '!N18/100/3.6*1000000</f>
        <v>758.13155900386016</v>
      </c>
      <c r="G8" s="34"/>
      <c r="H8" s="33"/>
      <c r="I8" s="33"/>
      <c r="J8" s="40">
        <f>C30*'E Balans VL '!D18/100/3.6*1000000+C30*'E Balans VL '!E18/100/3.6*1000000</f>
        <v>0</v>
      </c>
      <c r="K8" s="33"/>
      <c r="L8" s="33"/>
      <c r="M8" s="33"/>
      <c r="N8" s="33">
        <f>C30*'E Balans VL '!Y18/100/3.6*1000000</f>
        <v>87.015936078432347</v>
      </c>
      <c r="O8" s="33"/>
      <c r="P8" s="33"/>
      <c r="R8" s="32"/>
    </row>
    <row r="9" spans="1:18">
      <c r="A9" s="6" t="s">
        <v>32</v>
      </c>
      <c r="B9" s="37">
        <f t="shared" si="0"/>
        <v>2240.9964674999997</v>
      </c>
      <c r="C9" s="33"/>
      <c r="D9" s="37">
        <f>IF( ISERROR(IND_andere_gas_kWh/1000),0,IND_andere_gas_kWh/1000)*0.902</f>
        <v>2066.5383947537998</v>
      </c>
      <c r="E9" s="33">
        <f>C31*'E Balans VL '!I19/100/3.6*1000000</f>
        <v>571.85159454075756</v>
      </c>
      <c r="F9" s="33">
        <f>C31*'E Balans VL '!L19/100/3.6*1000000+C31*'E Balans VL '!N19/100/3.6*1000000</f>
        <v>1929.3295186746238</v>
      </c>
      <c r="G9" s="34"/>
      <c r="H9" s="33"/>
      <c r="I9" s="33"/>
      <c r="J9" s="40">
        <f>C31*'E Balans VL '!D19/100/3.6*1000000+C31*'E Balans VL '!E19/100/3.6*1000000</f>
        <v>0</v>
      </c>
      <c r="K9" s="33"/>
      <c r="L9" s="33"/>
      <c r="M9" s="33"/>
      <c r="N9" s="33">
        <f>C31*'E Balans VL '!Y19/100/3.6*1000000</f>
        <v>176.78839778085762</v>
      </c>
      <c r="O9" s="33"/>
      <c r="P9" s="33"/>
      <c r="R9" s="32"/>
    </row>
    <row r="10" spans="1:18">
      <c r="A10" s="6" t="s">
        <v>40</v>
      </c>
      <c r="B10" s="37">
        <f t="shared" si="0"/>
        <v>261.41978747000002</v>
      </c>
      <c r="C10" s="33"/>
      <c r="D10" s="37">
        <f>IF( ISERROR(IND_voed_gas_kWh/1000),0,IND_voed_gas_kWh/1000)*0.902</f>
        <v>493.43952147754004</v>
      </c>
      <c r="E10" s="33">
        <f>C32*'E Balans VL '!I20/100/3.6*1000000</f>
        <v>6.6456499562716624</v>
      </c>
      <c r="F10" s="33">
        <f>C32*'E Balans VL '!L20/100/3.6*1000000+C32*'E Balans VL '!N20/100/3.6*1000000</f>
        <v>59.155373655023581</v>
      </c>
      <c r="G10" s="34"/>
      <c r="H10" s="33"/>
      <c r="I10" s="33"/>
      <c r="J10" s="40">
        <f>C32*'E Balans VL '!D20/100/3.6*1000000+C32*'E Balans VL '!E20/100/3.6*1000000</f>
        <v>0</v>
      </c>
      <c r="K10" s="33"/>
      <c r="L10" s="33"/>
      <c r="M10" s="33"/>
      <c r="N10" s="33">
        <f>C32*'E Balans VL '!Y20/100/3.6*1000000</f>
        <v>98.039506363310124</v>
      </c>
      <c r="O10" s="33"/>
      <c r="P10" s="33"/>
      <c r="R10" s="32"/>
    </row>
    <row r="11" spans="1:18">
      <c r="A11" s="6" t="s">
        <v>39</v>
      </c>
      <c r="B11" s="37">
        <f t="shared" si="0"/>
        <v>49.048201143</v>
      </c>
      <c r="C11" s="33"/>
      <c r="D11" s="37">
        <f>IF( ISERROR(IND_textiel_gas_kWh/1000),0,IND_textiel_gas_kWh/1000)*0.902</f>
        <v>61.423057330976</v>
      </c>
      <c r="E11" s="33">
        <f>C33*'E Balans VL '!I21/100/3.6*1000000</f>
        <v>0.13465050231958284</v>
      </c>
      <c r="F11" s="33">
        <f>C33*'E Balans VL '!L21/100/3.6*1000000+C33*'E Balans VL '!N21/100/3.6*1000000</f>
        <v>2.6003312144086368</v>
      </c>
      <c r="G11" s="34"/>
      <c r="H11" s="33"/>
      <c r="I11" s="33"/>
      <c r="J11" s="40">
        <f>C33*'E Balans VL '!D21/100/3.6*1000000+C33*'E Balans VL '!E21/100/3.6*1000000</f>
        <v>0</v>
      </c>
      <c r="K11" s="33"/>
      <c r="L11" s="33"/>
      <c r="M11" s="33"/>
      <c r="N11" s="33">
        <f>C33*'E Balans VL '!Y21/100/3.6*1000000</f>
        <v>9.857876767327263E-2</v>
      </c>
      <c r="O11" s="33"/>
      <c r="P11" s="33"/>
      <c r="R11" s="32"/>
    </row>
    <row r="12" spans="1:18">
      <c r="A12" s="6" t="s">
        <v>36</v>
      </c>
      <c r="B12" s="37">
        <f t="shared" si="0"/>
        <v>50.502523112000006</v>
      </c>
      <c r="C12" s="33"/>
      <c r="D12" s="37">
        <f>IF( ISERROR(IND_min_gas_kWh/1000),0,IND_min_gas_kWh/1000)*0.902</f>
        <v>0</v>
      </c>
      <c r="E12" s="33">
        <f>C34*'E Balans VL '!I22/100/3.6*1000000</f>
        <v>1.0730520455846644</v>
      </c>
      <c r="F12" s="33">
        <f>C34*'E Balans VL '!L22/100/3.6*1000000+C34*'E Balans VL '!N22/100/3.6*1000000</f>
        <v>8.2399170332050957</v>
      </c>
      <c r="G12" s="34"/>
      <c r="H12" s="33"/>
      <c r="I12" s="33"/>
      <c r="J12" s="40">
        <f>C34*'E Balans VL '!D22/100/3.6*1000000+C34*'E Balans VL '!E22/100/3.6*1000000</f>
        <v>5.8840152346791602E-2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30357.905478000001</v>
      </c>
      <c r="C15" s="33"/>
      <c r="D15" s="37">
        <f>IF( ISERROR(IND_rest_gas_kWh/1000),0,IND_rest_gas_kWh/1000)*0.902</f>
        <v>8455.3692609518002</v>
      </c>
      <c r="E15" s="33">
        <f>C37*'E Balans VL '!I15/100/3.6*1000000</f>
        <v>1647.6112635398522</v>
      </c>
      <c r="F15" s="33">
        <f>C37*'E Balans VL '!L15/100/3.6*1000000+C37*'E Balans VL '!N15/100/3.6*1000000</f>
        <v>6616.6196992685454</v>
      </c>
      <c r="G15" s="34"/>
      <c r="H15" s="33"/>
      <c r="I15" s="33"/>
      <c r="J15" s="40">
        <f>C37*'E Balans VL '!D15/100/3.6*1000000+C37*'E Balans VL '!E15/100/3.6*1000000</f>
        <v>246.11504759812462</v>
      </c>
      <c r="K15" s="33"/>
      <c r="L15" s="33"/>
      <c r="M15" s="33"/>
      <c r="N15" s="33">
        <f>C37*'E Balans VL '!Y15/100/3.6*1000000</f>
        <v>1703.4455131791103</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34696.047954725</v>
      </c>
      <c r="C18" s="21">
        <f>C5+C16</f>
        <v>0</v>
      </c>
      <c r="D18" s="21">
        <f>MAX((D5+D16),0)</f>
        <v>11076.770234514115</v>
      </c>
      <c r="E18" s="21">
        <f>MAX((E5+E16),0)</f>
        <v>2289.7890572717574</v>
      </c>
      <c r="F18" s="21">
        <f>MAX((F5+F16),0)</f>
        <v>9374.0763988496656</v>
      </c>
      <c r="G18" s="21"/>
      <c r="H18" s="21"/>
      <c r="I18" s="21"/>
      <c r="J18" s="21">
        <f>MAX((J5+J16),0)</f>
        <v>246.17388775047141</v>
      </c>
      <c r="K18" s="21"/>
      <c r="L18" s="21">
        <f>MAX((L5+L16),0)</f>
        <v>0</v>
      </c>
      <c r="M18" s="21"/>
      <c r="N18" s="21">
        <f>MAX((N5+N16),0)</f>
        <v>2065.3879321693835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0.21475091696216544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7451.0081132404584</v>
      </c>
      <c r="C22" s="23">
        <f ca="1">C18*C20</f>
        <v>0</v>
      </c>
      <c r="D22" s="23">
        <f>D18*D20</f>
        <v>2237.5075873718515</v>
      </c>
      <c r="E22" s="23">
        <f>E18*E20</f>
        <v>519.78211600068892</v>
      </c>
      <c r="F22" s="23">
        <f>F18*F20</f>
        <v>2502.8783984928609</v>
      </c>
      <c r="G22" s="23"/>
      <c r="H22" s="23"/>
      <c r="I22" s="23"/>
      <c r="J22" s="23">
        <f>J18*J20</f>
        <v>87.145556263666876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1736.1754975000001</v>
      </c>
      <c r="C30" s="39">
        <f>IF(ISERROR(B30*3.6/1000000/'E Balans VL '!Z18*100),0,B30*3.6/1000000/'E Balans VL '!Z18*100)</f>
        <v>0.36785836529860599</v>
      </c>
      <c r="D30" s="237" t="s">
        <v>659</v>
      </c>
    </row>
    <row r="31" spans="1:18">
      <c r="A31" s="6" t="s">
        <v>32</v>
      </c>
      <c r="B31" s="37">
        <f>IF( ISERROR(IND_ander_ele_kWh/1000),0,IND_ander_ele_kWh/1000)</f>
        <v>2240.9964674999997</v>
      </c>
      <c r="C31" s="39">
        <f>IF(ISERROR(B31*3.6/1000000/'E Balans VL '!Z19*100),0,B31*3.6/1000000/'E Balans VL '!Z19*100)</f>
        <v>9.4328629869624092E-2</v>
      </c>
      <c r="D31" s="237" t="s">
        <v>659</v>
      </c>
    </row>
    <row r="32" spans="1:18">
      <c r="A32" s="171" t="s">
        <v>40</v>
      </c>
      <c r="B32" s="37">
        <f>IF( ISERROR(IND_voed_ele_kWh/1000),0,IND_voed_ele_kWh/1000)</f>
        <v>261.41978747000002</v>
      </c>
      <c r="C32" s="39">
        <f>IF(ISERROR(B32*3.6/1000000/'E Balans VL '!Z20*100),0,B32*3.6/1000000/'E Balans VL '!Z20*100)</f>
        <v>4.3673133258333732E-2</v>
      </c>
      <c r="D32" s="237" t="s">
        <v>659</v>
      </c>
    </row>
    <row r="33" spans="1:5">
      <c r="A33" s="171" t="s">
        <v>39</v>
      </c>
      <c r="B33" s="37">
        <f>IF( ISERROR(IND_textiel_ele_kWh/1000),0,IND_textiel_ele_kWh/1000)</f>
        <v>49.048201143</v>
      </c>
      <c r="C33" s="39">
        <f>IF(ISERROR(B33*3.6/1000000/'E Balans VL '!Z21*100),0,B33*3.6/1000000/'E Balans VL '!Z21*100)</f>
        <v>2.8635807602984064E-3</v>
      </c>
      <c r="D33" s="237" t="s">
        <v>659</v>
      </c>
    </row>
    <row r="34" spans="1:5">
      <c r="A34" s="171" t="s">
        <v>36</v>
      </c>
      <c r="B34" s="37">
        <f>IF( ISERROR(IND_min_ele_kWh/1000),0,IND_min_ele_kWh/1000)</f>
        <v>50.502523112000006</v>
      </c>
      <c r="C34" s="39">
        <f>IF(ISERROR(B34*3.6/1000000/'E Balans VL '!Z22*100),0,B34*3.6/1000000/'E Balans VL '!Z22*100)</f>
        <v>6.4014671637487404E-3</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30357.905478000001</v>
      </c>
      <c r="C37" s="39">
        <f>IF(ISERROR(B37*3.6/1000000/'E Balans VL '!Z15*100),0,B37*3.6/1000000/'E Balans VL '!Z15*100)</f>
        <v>0.24509112604367625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1420.6986535000001</v>
      </c>
      <c r="C5" s="17">
        <f>'Eigen informatie GS &amp; warmtenet'!B60</f>
        <v>0</v>
      </c>
      <c r="D5" s="30">
        <f>IF(ISERROR(SUM(LB_lb_gas_kWh,LB_rest_gas_kWh)/1000),0,SUM(LB_lb_gas_kWh,LB_rest_gas_kWh)/1000)*0.902</f>
        <v>85818.028176581109</v>
      </c>
      <c r="E5" s="17">
        <f>B17*'E Balans VL '!I25/3.6*1000000/100</f>
        <v>36.634363421596966</v>
      </c>
      <c r="F5" s="17">
        <f>B17*('E Balans VL '!L25/3.6*1000000+'E Balans VL '!N25/3.6*1000000)/100</f>
        <v>5192.9241374580806</v>
      </c>
      <c r="G5" s="18"/>
      <c r="H5" s="17"/>
      <c r="I5" s="17"/>
      <c r="J5" s="17">
        <f>('E Balans VL '!D25+'E Balans VL '!E25)/3.6*1000000*landbouw!B17/100</f>
        <v>204.52834334982808</v>
      </c>
      <c r="K5" s="17"/>
      <c r="L5" s="17">
        <f>L6*(-1)</f>
        <v>0</v>
      </c>
      <c r="M5" s="17"/>
      <c r="N5" s="17">
        <f>N6*(-1)</f>
        <v>0</v>
      </c>
      <c r="O5" s="17"/>
      <c r="P5" s="17"/>
      <c r="R5" s="32"/>
    </row>
    <row r="6" spans="1:18">
      <c r="A6" s="16" t="s">
        <v>490</v>
      </c>
      <c r="B6" s="17" t="s">
        <v>210</v>
      </c>
      <c r="C6" s="17">
        <f>'lokale energieproductie'!O41+'lokale energieproductie'!O34</f>
        <v>44145</v>
      </c>
      <c r="D6" s="308">
        <f>('lokale energieproductie'!P34+'lokale energieproductie'!P41)*(-1)</f>
        <v>-88290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1420.6986535000001</v>
      </c>
      <c r="C8" s="21">
        <f>C5+C6</f>
        <v>44145</v>
      </c>
      <c r="D8" s="21">
        <f>MAX((D5+D6),0)</f>
        <v>0</v>
      </c>
      <c r="E8" s="21">
        <f>MAX((E5+E6),0)</f>
        <v>36.634363421596966</v>
      </c>
      <c r="F8" s="21">
        <f>MAX((F5+F6),0)</f>
        <v>5192.9241374580806</v>
      </c>
      <c r="G8" s="21"/>
      <c r="H8" s="21"/>
      <c r="I8" s="21"/>
      <c r="J8" s="21">
        <f>MAX((J5+J6),0)</f>
        <v>204.52834334982808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0.21475091696216544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305.09633856603875</v>
      </c>
      <c r="C12" s="23">
        <f ca="1">C8*C10</f>
        <v>10490.929411764706</v>
      </c>
      <c r="D12" s="23">
        <f>D8*D10</f>
        <v>0</v>
      </c>
      <c r="E12" s="23">
        <f>E8*E10</f>
        <v>8.316000496702511</v>
      </c>
      <c r="F12" s="23">
        <f>F8*F10</f>
        <v>1386.5107447013077</v>
      </c>
      <c r="G12" s="23"/>
      <c r="H12" s="23"/>
      <c r="I12" s="23"/>
      <c r="J12" s="23">
        <f>J8*J10</f>
        <v>72.403033545839136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0.20032792064037042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10.604674053493063</v>
      </c>
      <c r="C26" s="247">
        <f>B26*'GWP N2O_CH4'!B5</f>
        <v>222.69815512335433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6.2074418084149556</v>
      </c>
      <c r="C27" s="247">
        <f>B27*'GWP N2O_CH4'!B5</f>
        <v>130.35627797671407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0.13751897257360576</v>
      </c>
      <c r="C28" s="247">
        <f>B28*'GWP N2O_CH4'!B4</f>
        <v>42.630881497817789</v>
      </c>
      <c r="D28" s="50"/>
    </row>
    <row r="29" spans="1:4">
      <c r="A29" s="41" t="s">
        <v>276</v>
      </c>
      <c r="B29" s="247">
        <f>B34*'ha_N2O bodem landbouw'!B4</f>
        <v>2.4175001916851007</v>
      </c>
      <c r="C29" s="247">
        <f>B29*'GWP N2O_CH4'!B4</f>
        <v>749.4250594223812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5.4406891391106042E-4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1.4405069313470735E-4</v>
      </c>
      <c r="C5" s="437" t="s">
        <v>210</v>
      </c>
      <c r="D5" s="422">
        <f>SUM(D6:D11)</f>
        <v>2.73919893456108E-4</v>
      </c>
      <c r="E5" s="422">
        <f>SUM(E6:E11)</f>
        <v>1.4365259611570211E-3</v>
      </c>
      <c r="F5" s="435" t="s">
        <v>210</v>
      </c>
      <c r="G5" s="422">
        <f>SUM(G6:G11)</f>
        <v>0.72250579072326027</v>
      </c>
      <c r="H5" s="422">
        <f>SUM(H6:H11)</f>
        <v>9.6629892833327874E-2</v>
      </c>
      <c r="I5" s="437" t="s">
        <v>210</v>
      </c>
      <c r="J5" s="437" t="s">
        <v>210</v>
      </c>
      <c r="K5" s="437" t="s">
        <v>210</v>
      </c>
      <c r="L5" s="437" t="s">
        <v>210</v>
      </c>
      <c r="M5" s="422">
        <f>SUM(M6:M11)</f>
        <v>2.5625891495716299E-2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3.0845902155863455E-5</v>
      </c>
      <c r="C6" s="423"/>
      <c r="D6" s="865">
        <f>vkm_GW_PW*SUMIFS(TableVerdeelsleutelVkm[CNG],TableVerdeelsleutelVkm[Voertuigtype],"Lichte voertuigen")*SUMIFS(TableECFTransport[EnergieConsumptieFactor (PJ per km)],TableECFTransport[Index],CONCATENATE($A6,"_CNG_CNG"))</f>
        <v>5.5605188228047813E-5</v>
      </c>
      <c r="E6" s="865">
        <f>vkm_GW_PW*SUMIFS(TableVerdeelsleutelVkm[LPG],TableVerdeelsleutelVkm[Voertuigtype],"Lichte voertuigen")*SUMIFS(TableECFTransport[EnergieConsumptieFactor (PJ per km)],TableECFTransport[Index],CONCATENATE($A6,"_LPG_LPG"))</f>
        <v>2.5119233869934636E-4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6.86254040721401E-2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1.9092309079350622E-2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2.7311602730767772E-3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3.5266083023440295E-2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6.3636995126393749E-7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1.1094729488166566E-3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1.0443956241640951E-5</v>
      </c>
      <c r="C8" s="423"/>
      <c r="D8" s="425">
        <f>vkm_NGW_PW*SUMIFS(TableVerdeelsleutelVkm[CNG],TableVerdeelsleutelVkm[Voertuigtype],"Lichte voertuigen")*SUMIFS(TableECFTransport[EnergieConsumptieFactor (PJ per km)],TableECFTransport[Index],CONCATENATE($A8,"_CNG_CNG"))</f>
        <v>3.200061295726351E-5</v>
      </c>
      <c r="E8" s="425">
        <f>vkm_NGW_PW*SUMIFS(TableVerdeelsleutelVkm[LPG],TableVerdeelsleutelVkm[Voertuigtype],"Lichte voertuigen")*SUMIFS(TableECFTransport[EnergieConsumptieFactor (PJ per km)],TableECFTransport[Index],CONCATENATE($A8,"_LPG_LPG"))</f>
        <v>1.3721874385997886E-4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3.5199719279759581E-2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1.0677369045579869E-2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1.4273902459624442E-3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2.4103360125342661E-2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5.3691663550256285E-7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7.5829611714022622E-4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1.0276083473720294E-4</v>
      </c>
      <c r="C10" s="423"/>
      <c r="D10" s="425">
        <f>vkm_SW_PW*SUMIFS(TableVerdeelsleutelVkm[CNG],TableVerdeelsleutelVkm[Voertuigtype],"Lichte voertuigen")*SUMIFS(TableECFTransport[EnergieConsumptieFactor (PJ per km)],TableECFTransport[Index],CONCATENATE($A10,"_CNG_CNG"))</f>
        <v>1.8631409227079667E-4</v>
      </c>
      <c r="E10" s="425">
        <f>vkm_SW_PW*SUMIFS(TableVerdeelsleutelVkm[LPG],TableVerdeelsleutelVkm[Voertuigtype],"Lichte voertuigen")*SUMIFS(TableECFTransport[EnergieConsumptieFactor (PJ per km)],TableECFTransport[Index],CONCATENATE($A10,"_LPG_LPG"))</f>
        <v>1.0481148785976958E-3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0.25698781198327664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6.6853213977663514E-2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1.0088449262553523E-2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0.30232341223930098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5.827444147107688E-6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9.51112264816667E-3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40.014081426307598</v>
      </c>
      <c r="C14" s="21"/>
      <c r="D14" s="21">
        <f t="shared" ref="D14:M14" si="0">((D5)*10^9/3600)+D12</f>
        <v>76.088859293363328</v>
      </c>
      <c r="E14" s="21">
        <f t="shared" si="0"/>
        <v>399.03498921028364</v>
      </c>
      <c r="F14" s="21"/>
      <c r="G14" s="21">
        <f t="shared" si="0"/>
        <v>200696.05297868341</v>
      </c>
      <c r="H14" s="21">
        <f t="shared" si="0"/>
        <v>26841.636898146633</v>
      </c>
      <c r="I14" s="21"/>
      <c r="J14" s="21"/>
      <c r="K14" s="21"/>
      <c r="L14" s="21"/>
      <c r="M14" s="21">
        <f t="shared" si="0"/>
        <v>7118.3031932545273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0.21475091696216544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8.5930606776983094</v>
      </c>
      <c r="C18" s="23"/>
      <c r="D18" s="23">
        <f t="shared" ref="D18:M18" si="1">D14*D16</f>
        <v>15.369949577259392</v>
      </c>
      <c r="E18" s="23">
        <f t="shared" si="1"/>
        <v>90.580942550734392</v>
      </c>
      <c r="F18" s="23"/>
      <c r="G18" s="23">
        <f t="shared" si="1"/>
        <v>53585.846145308475</v>
      </c>
      <c r="H18" s="23">
        <f t="shared" si="1"/>
        <v>6683.5675876385112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4.2512304345450639E-3</v>
      </c>
      <c r="C50" s="319">
        <f t="shared" ref="C50:P50" si="2">SUM(C51:C52)</f>
        <v>0</v>
      </c>
      <c r="D50" s="319">
        <f t="shared" si="2"/>
        <v>0</v>
      </c>
      <c r="E50" s="319">
        <f t="shared" si="2"/>
        <v>0</v>
      </c>
      <c r="F50" s="319">
        <f t="shared" si="2"/>
        <v>0</v>
      </c>
      <c r="G50" s="319">
        <f t="shared" si="2"/>
        <v>3.8403113903969412E-3</v>
      </c>
      <c r="H50" s="319">
        <f t="shared" si="2"/>
        <v>0</v>
      </c>
      <c r="I50" s="319">
        <f t="shared" si="2"/>
        <v>0</v>
      </c>
      <c r="J50" s="319">
        <f t="shared" si="2"/>
        <v>0</v>
      </c>
      <c r="K50" s="319">
        <f t="shared" si="2"/>
        <v>0</v>
      </c>
      <c r="L50" s="319">
        <f t="shared" si="2"/>
        <v>0</v>
      </c>
      <c r="M50" s="319">
        <f t="shared" si="2"/>
        <v>1.1896749741692268E-4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3.8403113903969412E-3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1.1896749741692268E-4</v>
      </c>
      <c r="N51" s="321"/>
      <c r="O51" s="321"/>
      <c r="P51" s="324"/>
    </row>
    <row r="52" spans="1:18">
      <c r="A52" s="4" t="s">
        <v>329</v>
      </c>
      <c r="B52" s="866">
        <f>vkm_tram*SUMIFS(TableECFTransport[EnergieConsumptieFactor (PJ per km)],TableECFTransport[Index],"Tram_gemiddeld_Electric_Electric")</f>
        <v>4.2512304345450639E-3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1180.8973429291846</v>
      </c>
      <c r="C54" s="21">
        <f t="shared" ref="C54:P54" si="3">(C50)*10^9/3600</f>
        <v>0</v>
      </c>
      <c r="D54" s="21">
        <f t="shared" si="3"/>
        <v>0</v>
      </c>
      <c r="E54" s="21">
        <f t="shared" si="3"/>
        <v>0</v>
      </c>
      <c r="F54" s="21">
        <f t="shared" si="3"/>
        <v>0</v>
      </c>
      <c r="G54" s="21">
        <f t="shared" si="3"/>
        <v>1066.7531639991505</v>
      </c>
      <c r="H54" s="21">
        <f t="shared" si="3"/>
        <v>0</v>
      </c>
      <c r="I54" s="21">
        <f t="shared" si="3"/>
        <v>0</v>
      </c>
      <c r="J54" s="21">
        <f t="shared" si="3"/>
        <v>0</v>
      </c>
      <c r="K54" s="21">
        <f t="shared" si="3"/>
        <v>0</v>
      </c>
      <c r="L54" s="21">
        <f t="shared" si="3"/>
        <v>0</v>
      </c>
      <c r="M54" s="21">
        <f t="shared" si="3"/>
        <v>33.046527060256302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0.21475091696216544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253.59878723222712</v>
      </c>
      <c r="C58" s="23">
        <f t="shared" ref="C58:P58" ca="1" si="4">C54*C56</f>
        <v>0</v>
      </c>
      <c r="D58" s="23">
        <f t="shared" si="4"/>
        <v>0</v>
      </c>
      <c r="E58" s="23">
        <f t="shared" si="4"/>
        <v>0</v>
      </c>
      <c r="F58" s="23">
        <f t="shared" si="4"/>
        <v>0</v>
      </c>
      <c r="G58" s="23">
        <f t="shared" si="4"/>
        <v>284.82309478777319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5050.9978095116294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30924</v>
      </c>
      <c r="C8" s="544">
        <f>B50</f>
        <v>36381.176470588238</v>
      </c>
      <c r="D8" s="1009"/>
      <c r="E8" s="1009">
        <f>E50</f>
        <v>0</v>
      </c>
      <c r="F8" s="1010"/>
      <c r="G8" s="545"/>
      <c r="H8" s="1009">
        <f>I50</f>
        <v>0</v>
      </c>
      <c r="I8" s="1009">
        <f>G50+F50</f>
        <v>0</v>
      </c>
      <c r="J8" s="1009">
        <f>H50+D50+C50</f>
        <v>0</v>
      </c>
      <c r="K8" s="1009"/>
      <c r="L8" s="1009"/>
      <c r="M8" s="1009"/>
      <c r="N8" s="546"/>
      <c r="O8" s="547">
        <f>C8*$C$12+D8*$D$12+E8*$E$12+F8*$F$12+G8*$G$12+H8*$H$12+I8*$I$12+J8*$J$12</f>
        <v>7348.9976470588244</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35974.997809511631</v>
      </c>
      <c r="C10" s="557">
        <f t="shared" ref="C10:L10" si="0">SUM(C8:C9)</f>
        <v>36381.176470588238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7348.9976470588244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44177.142857142855</v>
      </c>
      <c r="C17" s="569">
        <f>B51</f>
        <v>51973.10924369748</v>
      </c>
      <c r="D17" s="570"/>
      <c r="E17" s="570">
        <f>E51</f>
        <v>0</v>
      </c>
      <c r="F17" s="1015"/>
      <c r="G17" s="571"/>
      <c r="H17" s="569">
        <f>I51</f>
        <v>0</v>
      </c>
      <c r="I17" s="570">
        <f>G51+F51</f>
        <v>0</v>
      </c>
      <c r="J17" s="570">
        <f>H51+D51+C51</f>
        <v>0</v>
      </c>
      <c r="K17" s="570"/>
      <c r="L17" s="570"/>
      <c r="M17" s="570"/>
      <c r="N17" s="1016"/>
      <c r="O17" s="572">
        <f>C17*$C$22+E17*$E$22+H17*$H$22+I17*$I$22+J17*$J$22+D17*$D$22+F17*$F$22+G17*$G$22+K17*$K$22+L17*$L$22</f>
        <v>10498.568067226892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44177.142857142855</v>
      </c>
      <c r="C20" s="556">
        <f>SUM(C17:C19)</f>
        <v>51973.10924369748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10498.568067226892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11056</v>
      </c>
      <c r="C28" s="770">
        <v>2070</v>
      </c>
      <c r="D28" s="627" t="s">
        <v>896</v>
      </c>
      <c r="E28" s="626" t="s">
        <v>897</v>
      </c>
      <c r="F28" s="626" t="s">
        <v>898</v>
      </c>
      <c r="G28" s="626" t="s">
        <v>899</v>
      </c>
      <c r="H28" s="626" t="s">
        <v>900</v>
      </c>
      <c r="I28" s="626" t="s">
        <v>901</v>
      </c>
      <c r="J28" s="769">
        <v>40946</v>
      </c>
      <c r="K28" s="769">
        <v>39043</v>
      </c>
      <c r="L28" s="626" t="s">
        <v>902</v>
      </c>
      <c r="M28" s="626">
        <v>4800</v>
      </c>
      <c r="N28" s="626">
        <v>21600</v>
      </c>
      <c r="O28" s="626">
        <v>30857.142857142859</v>
      </c>
      <c r="P28" s="626">
        <v>61714.285714285717</v>
      </c>
      <c r="Q28" s="626">
        <v>0</v>
      </c>
      <c r="R28" s="626">
        <v>0</v>
      </c>
      <c r="S28" s="626">
        <v>0</v>
      </c>
      <c r="T28" s="626">
        <v>0</v>
      </c>
      <c r="U28" s="626">
        <v>0</v>
      </c>
      <c r="V28" s="626">
        <v>0</v>
      </c>
      <c r="W28" s="626">
        <v>0</v>
      </c>
      <c r="X28" s="626">
        <v>10</v>
      </c>
      <c r="Y28" s="626" t="s">
        <v>111</v>
      </c>
      <c r="Z28" s="628" t="s">
        <v>111</v>
      </c>
    </row>
    <row r="29" spans="1:26" s="580" customFormat="1" ht="25.5">
      <c r="A29" s="579"/>
      <c r="B29" s="770">
        <v>11056</v>
      </c>
      <c r="C29" s="770">
        <v>2070</v>
      </c>
      <c r="D29" s="627" t="s">
        <v>903</v>
      </c>
      <c r="E29" s="626" t="s">
        <v>904</v>
      </c>
      <c r="F29" s="626" t="s">
        <v>905</v>
      </c>
      <c r="G29" s="626" t="s">
        <v>899</v>
      </c>
      <c r="H29" s="626" t="s">
        <v>900</v>
      </c>
      <c r="I29" s="626" t="s">
        <v>904</v>
      </c>
      <c r="J29" s="769">
        <v>40267</v>
      </c>
      <c r="K29" s="769">
        <v>40269</v>
      </c>
      <c r="L29" s="626" t="s">
        <v>902</v>
      </c>
      <c r="M29" s="626">
        <v>2067</v>
      </c>
      <c r="N29" s="626">
        <v>9301.5</v>
      </c>
      <c r="O29" s="626">
        <v>13287.857142857143</v>
      </c>
      <c r="P29" s="626">
        <v>26575.714285714286</v>
      </c>
      <c r="Q29" s="626">
        <v>0</v>
      </c>
      <c r="R29" s="626">
        <v>0</v>
      </c>
      <c r="S29" s="626">
        <v>0</v>
      </c>
      <c r="T29" s="626">
        <v>0</v>
      </c>
      <c r="U29" s="626">
        <v>0</v>
      </c>
      <c r="V29" s="626">
        <v>0</v>
      </c>
      <c r="W29" s="626">
        <v>0</v>
      </c>
      <c r="X29" s="626">
        <v>10</v>
      </c>
      <c r="Y29" s="626" t="s">
        <v>111</v>
      </c>
      <c r="Z29" s="628" t="s">
        <v>111</v>
      </c>
    </row>
    <row r="30" spans="1:26" s="580" customFormat="1" ht="63.75">
      <c r="A30" s="579"/>
      <c r="B30" s="770">
        <v>11056</v>
      </c>
      <c r="C30" s="770">
        <v>2070</v>
      </c>
      <c r="D30" s="627" t="s">
        <v>906</v>
      </c>
      <c r="E30" s="626" t="s">
        <v>907</v>
      </c>
      <c r="F30" s="626" t="s">
        <v>908</v>
      </c>
      <c r="G30" s="626" t="s">
        <v>899</v>
      </c>
      <c r="H30" s="626" t="s">
        <v>900</v>
      </c>
      <c r="I30" s="626" t="s">
        <v>907</v>
      </c>
      <c r="J30" s="769">
        <v>40735</v>
      </c>
      <c r="K30" s="769">
        <v>40848</v>
      </c>
      <c r="L30" s="626" t="s">
        <v>902</v>
      </c>
      <c r="M30" s="626">
        <v>5</v>
      </c>
      <c r="N30" s="626">
        <v>22.5</v>
      </c>
      <c r="O30" s="626">
        <v>32.142857142857146</v>
      </c>
      <c r="P30" s="626">
        <v>64.285714285714292</v>
      </c>
      <c r="Q30" s="626">
        <v>0</v>
      </c>
      <c r="R30" s="626">
        <v>0</v>
      </c>
      <c r="S30" s="626">
        <v>0</v>
      </c>
      <c r="T30" s="626">
        <v>0</v>
      </c>
      <c r="U30" s="626">
        <v>0</v>
      </c>
      <c r="V30" s="626">
        <v>0</v>
      </c>
      <c r="W30" s="626">
        <v>0</v>
      </c>
      <c r="X30" s="626">
        <v>1600</v>
      </c>
      <c r="Y30" s="626" t="s">
        <v>49</v>
      </c>
      <c r="Z30" s="628" t="s">
        <v>155</v>
      </c>
    </row>
    <row r="31" spans="1:26" s="564" customFormat="1">
      <c r="A31" s="582" t="s">
        <v>279</v>
      </c>
      <c r="B31" s="583"/>
      <c r="C31" s="583"/>
      <c r="D31" s="583"/>
      <c r="E31" s="583"/>
      <c r="F31" s="583"/>
      <c r="G31" s="583"/>
      <c r="H31" s="583"/>
      <c r="I31" s="583"/>
      <c r="J31" s="583"/>
      <c r="K31" s="583"/>
      <c r="L31" s="584"/>
      <c r="M31" s="584">
        <f>SUM(M28:M30)</f>
        <v>6872</v>
      </c>
      <c r="N31" s="584">
        <f>SUM(N28:N30)</f>
        <v>30924</v>
      </c>
      <c r="O31" s="584">
        <f>SUM(O28:O30)</f>
        <v>44177.142857142855</v>
      </c>
      <c r="P31" s="584">
        <f>SUM(P28:P30)</f>
        <v>88354.28571428571</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5</v>
      </c>
      <c r="N33" s="584">
        <f ca="1">SUMIF($Z$28:AD30,"tertiair",N28:N30)</f>
        <v>22.5</v>
      </c>
      <c r="O33" s="584">
        <f ca="1">SUMIF($Z$28:AE30,"tertiair",O28:O30)</f>
        <v>32.142857142857146</v>
      </c>
      <c r="P33" s="584">
        <f ca="1">SUMIF($Z$28:AF30,"tertiair",P28:P30)</f>
        <v>64.285714285714292</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6867</v>
      </c>
      <c r="N34" s="589">
        <f>SUMIF($Z$28:$Z$30,"landbouw",N28:N30)</f>
        <v>30901.5</v>
      </c>
      <c r="O34" s="589">
        <f>SUMIF($Z$28:$Z$30,"landbouw",O28:O30)</f>
        <v>44145</v>
      </c>
      <c r="P34" s="589">
        <f>SUMIF($Z$28:$Z$30,"landbouw",P28:P30)</f>
        <v>88290</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0.41176470588235298</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36381.176470588238</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51973.10924369748</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2020-06-20T15:50:45Z</dcterms:modified>
</cp:coreProperties>
</file>