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O88" i="14" s="1"/>
  <c r="O18" i="59" s="1"/>
  <c r="K18" i="18"/>
  <c r="N88" i="14" s="1"/>
  <c r="N18" i="59" s="1"/>
  <c r="J18" i="18"/>
  <c r="J88" i="14" s="1"/>
  <c r="J18" i="59" s="1"/>
  <c r="I18" i="18"/>
  <c r="H18" i="18"/>
  <c r="G18" i="18"/>
  <c r="H88" i="14" s="1"/>
  <c r="F18" i="18"/>
  <c r="F20" i="18" s="1"/>
  <c r="E18" i="18"/>
  <c r="D18" i="18"/>
  <c r="E88" i="14" s="1"/>
  <c r="E18" i="59"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M88" i="14"/>
  <c r="M18" i="59" s="1"/>
  <c r="K88" i="14"/>
  <c r="K18" i="59" s="1"/>
  <c r="I88" i="14"/>
  <c r="I18" i="59" s="1"/>
  <c r="F88" i="14"/>
  <c r="F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H77" i="14" l="1"/>
  <c r="H9" i="59" s="1"/>
  <c r="R25" i="14"/>
  <c r="D20" i="18"/>
  <c r="G20" i="18"/>
  <c r="D13" i="15"/>
  <c r="L6" i="17"/>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C49" i="18"/>
  <c r="F49" i="18"/>
  <c r="Q77" i="14"/>
  <c r="P9" i="59" s="1"/>
  <c r="B49" i="18"/>
  <c r="C17" i="18" s="1"/>
  <c r="D87" i="14" s="1"/>
  <c r="D17" i="59" s="1"/>
  <c r="D20" i="59" s="1"/>
  <c r="G49" i="18"/>
  <c r="I17" i="18" s="1"/>
  <c r="D49" i="18"/>
  <c r="J17" i="18" s="1"/>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H20" i="18"/>
  <c r="M87" i="14"/>
  <c r="M76" i="14"/>
  <c r="H10" i="18"/>
  <c r="K33" i="48"/>
  <c r="H14" i="15"/>
  <c r="H16" i="15" s="1"/>
  <c r="G14" i="15"/>
  <c r="G16" i="15" s="1"/>
  <c r="E10" i="18" l="1"/>
  <c r="C2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P46" i="14"/>
  <c r="P61" i="14" s="1"/>
  <c r="O22" i="16"/>
  <c r="P43" i="14" s="1"/>
  <c r="O8" i="48"/>
  <c r="O26" i="48" s="1"/>
  <c r="P13" i="14"/>
  <c r="P16" i="14" s="1"/>
  <c r="P27" i="14" s="1"/>
  <c r="E7" i="48"/>
  <c r="E25" i="48" s="1"/>
  <c r="F24" i="14"/>
  <c r="F26" i="14" s="1"/>
  <c r="O23" i="48"/>
  <c r="O33" i="48" s="1"/>
  <c r="O15"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63" i="14" s="1"/>
  <c r="N20" i="15"/>
  <c r="O40" i="14" s="1"/>
  <c r="F20" i="15"/>
  <c r="G40" i="14" s="1"/>
  <c r="N5" i="16"/>
  <c r="E5" i="16"/>
  <c r="J5" i="16"/>
  <c r="C35" i="13"/>
  <c r="F5" i="16"/>
  <c r="C36" i="13"/>
  <c r="N12" i="13"/>
  <c r="O41" i="14" s="1"/>
  <c r="C38" i="13"/>
  <c r="C39" i="13"/>
  <c r="C32" i="13"/>
  <c r="C34" i="13"/>
  <c r="J12" i="13"/>
  <c r="K41" i="14" s="1"/>
  <c r="L20" i="15"/>
  <c r="M40" i="14" s="1"/>
  <c r="P63" i="14" l="1"/>
  <c r="F10" i="14"/>
  <c r="E5" i="48"/>
  <c r="J5" i="48"/>
  <c r="J23" i="48" s="1"/>
  <c r="K10" i="14"/>
  <c r="J20" i="15"/>
  <c r="K40" i="14" s="1"/>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15" i="48" l="1"/>
  <c r="J33" i="48"/>
  <c r="E23" i="48"/>
  <c r="E33" i="48" s="1"/>
  <c r="E15" i="48"/>
  <c r="E8" i="48"/>
  <c r="E26" i="48" s="1"/>
  <c r="F13" i="14"/>
  <c r="F16" i="14" s="1"/>
  <c r="F27" i="14" s="1"/>
  <c r="F63" i="14" s="1"/>
  <c r="J22" i="16"/>
  <c r="K43" i="14" s="1"/>
  <c r="K46" i="14" s="1"/>
  <c r="K61" i="14" s="1"/>
  <c r="J8" i="48"/>
  <c r="J26" i="48" s="1"/>
  <c r="K13" i="14"/>
  <c r="K16" i="14" s="1"/>
  <c r="K27" i="14" s="1"/>
  <c r="N8" i="48"/>
  <c r="N26" i="48" s="1"/>
  <c r="O13" i="14"/>
  <c r="N22" i="16"/>
  <c r="O43" i="14" s="1"/>
  <c r="G13" i="14"/>
  <c r="F8" i="48"/>
  <c r="K63" i="14" l="1"/>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<sst xmlns="http://schemas.openxmlformats.org/spreadsheetml/2006/main" count="2416" uniqueCount="902">
  <si>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</si>
  <si>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</si>
  <si>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</si>
  <si>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</si>
  <si>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</si>
  <si>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</si>
  <si>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</si>
  <si>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</si>
  <si>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</si>
  <si>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</si>
  <si>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</si>
  <si>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</si>
  <si>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</si>
  <si>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</si>
  <si>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</si>
  <si>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</si>
  <si>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</si>
  <si>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</si>
  <si>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</si>
  <si>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</si>
  <si>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</si>
  <si>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</si>
  <si>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</si>
  <si>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</si>
  <si>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</si>
  <si>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</si>
  <si>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</si>
  <si>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</si>
  <si>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</si>
  <si>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</si>
  <si>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</si>
  <si>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</si>
  <si>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</si>
  <si>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</si>
  <si>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</si>
  <si>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</si>
  <si>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</si>
  <si>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</si>
  <si>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</si>
  <si>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</si>
  <si>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</si>
  <si>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</si>
  <si>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</si>
  <si>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</si>
  <si>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</si>
  <si>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</si>
  <si>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</si>
  <si>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</si>
  <si>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</si>
  <si>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</si>
  <si>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</si>
  <si>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</si>
  <si>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</si>
  <si>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</si>
  <si>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</si>
  <si>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</si>
  <si>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</si>
  <si>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</si>
  <si>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</si>
  <si>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</si>
  <si>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</si>
  <si>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</si>
  <si>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</si>
  <si>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</si>
  <si>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</si>
  <si>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</si>
  <si>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</si>
  <si>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</si>
  <si>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</si>
  <si>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</si>
  <si>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</si>
  <si>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</si>
  <si>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</si>
  <si>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</si>
  <si>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</si>
  <si>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</si>
  <si>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</si>
  <si>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</si>
  <si>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</si>
  <si>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</si>
  <si>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</si>
  <si>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</si>
  <si>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</si>
  <si>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</si>
  <si>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</si>
  <si>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</si>
  <si>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</si>
  <si>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</si>
  <si>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</si>
  <si>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</si>
  <si>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</si>
  <si>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</si>
  <si>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</si>
  <si>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</si>
  <si>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</si>
  <si>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</si>
  <si>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</si>
  <si>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</si>
  <si>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</si>
  <si>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</si>
  <si>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</si>
  <si>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</si>
  <si>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</si>
  <si>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</si>
  <si>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</si>
  <si>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</si>
  <si>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</si>
  <si>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</si>
  <si>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</si>
  <si>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</si>
  <si>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</si>
  <si>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</si>
  <si>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</si>
  <si>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</si>
  <si>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</si>
  <si>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</si>
  <si>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</si>
  <si>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</si>
  <si>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</si>
  <si>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</si>
  <si>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</si>
  <si>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</si>
  <si>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</si>
  <si>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</si>
  <si>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</si>
  <si>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</si>
  <si>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</si>
  <si>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</si>
  <si>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</si>
  <si>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</si>
  <si>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</si>
  <si>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</si>
  <si>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</si>
  <si>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</si>
  <si>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</si>
  <si>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</si>
  <si>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</si>
  <si>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</si>
  <si>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</si>
  <si>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</si>
  <si>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</si>
  <si>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</si>
  <si>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</si>
  <si>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</si>
  <si>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</si>
  <si>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</si>
  <si>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</si>
  <si>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</si>
  <si>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</si>
  <si>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</si>
  <si>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</si>
  <si>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</si>
  <si>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</si>
  <si>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</si>
  <si>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</si>
  <si>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</si>
  <si>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</si>
  <si>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</si>
  <si>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</si>
  <si>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</si>
  <si>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</si>
  <si>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</si>
  <si>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</si>
  <si>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</si>
  <si>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</si>
  <si>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</si>
  <si>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</si>
  <si>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</si>
  <si>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</si>
  <si>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</si>
  <si>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</si>
  <si>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</si>
  <si>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</si>
  <si>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</si>
  <si>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</si>
  <si>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</si>
  <si>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</si>
  <si>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</si>
  <si>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</si>
  <si>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</si>
  <si>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</si>
  <si>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</si>
  <si>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</si>
  <si>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</si>
  <si>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</si>
  <si>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</si>
  <si>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</si>
  <si>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</si>
  <si>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</si>
  <si>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</si>
  <si>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</si>
  <si>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</si>
  <si>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</si>
  <si>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</si>
  <si>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</si>
  <si>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</si>
  <si>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</si>
  <si>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</si>
  <si>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</si>
  <si>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</si>
  <si>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</si>
  <si>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</si>
  <si>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</si>
  <si>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</si>
  <si>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</si>
  <si>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</si>
  <si>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</si>
  <si>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</si>
  <si>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</si>
  <si>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</si>
  <si>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</si>
  <si>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</si>
  <si>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</si>
  <si>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</si>
  <si>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</si>
  <si>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</si>
  <si>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</si>
  <si>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</si>
  <si>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</si>
  <si>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</si>
  <si>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</si>
  <si>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</si>
  <si>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</si>
  <si>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</si>
  <si>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</si>
  <si>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</si>
  <si>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</si>
  <si>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</si>
  <si>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</si>
  <si>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</si>
  <si>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</si>
  <si>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</si>
  <si>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</si>
  <si>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</si>
  <si>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</si>
  <si>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</si>
  <si>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</si>
  <si>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</si>
  <si>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</si>
  <si>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</si>
  <si>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</si>
  <si>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</si>
  <si>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</si>
  <si>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</si>
  <si>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</si>
  <si>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</si>
  <si>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</si>
  <si>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</si>
  <si>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</si>
  <si>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</si>
  <si>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</si>
  <si>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</si>
  <si>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</si>
  <si>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</si>
  <si>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</si>
  <si>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</si>
  <si>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</si>
  <si>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</si>
  <si>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</si>
  <si>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</si>
  <si>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</si>
  <si>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</si>
  <si>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</si>
  <si>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</si>
  <si>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</si>
  <si>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</si>
  <si>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</si>
  <si>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</si>
  <si>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</si>
  <si>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</si>
  <si>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</si>
  <si>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</si>
  <si>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</si>
  <si>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</si>
  <si>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</si>
  <si>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</si>
  <si>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</si>
  <si>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</si>
  <si>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</si>
  <si>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</si>
  <si>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</si>
  <si>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</si>
  <si>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</si>
  <si>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</si>
  <si>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</si>
  <si>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</si>
  <si>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</si>
  <si>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</si>
  <si>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</si>
  <si>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</si>
  <si>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</si>
  <si>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</si>
  <si>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</si>
  <si>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</si>
  <si>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</si>
  <si>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</si>
  <si>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</si>
  <si>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</si>
  <si>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</si>
  <si>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</si>
  <si>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</si>
  <si>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</si>
  <si>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</si>
  <si>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</si>
  <si>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</si>
  <si>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</si>
  <si>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</si>
  <si>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</si>
  <si>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</si>
  <si>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</si>
  <si>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</si>
  <si>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</si>
  <si>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</si>
  <si>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</si>
  <si>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</si>
  <si>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</si>
  <si>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</si>
  <si>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</si>
  <si>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</si>
  <si>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</si>
  <si>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</si>
  <si>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</si>
  <si>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</si>
  <si>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</si>
  <si>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</si>
  <si>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</si>
  <si>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</si>
  <si>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</si>
  <si>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</si>
  <si>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</si>
  <si>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</si>
  <si>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</si>
  <si>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</si>
  <si>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</si>
  <si>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</si>
  <si>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</si>
  <si>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</si>
  <si>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</si>
  <si>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</si>
  <si>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</si>
  <si>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</si>
  <si>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</si>
  <si>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</si>
  <si>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</si>
  <si>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</si>
  <si>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</si>
  <si>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</si>
  <si>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</si>
  <si>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</si>
  <si>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</si>
  <si>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</si>
  <si>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</si>
  <si>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</si>
  <si>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</si>
  <si>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</si>
  <si>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</si>
  <si>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</si>
  <si>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</si>
  <si>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</si>
  <si>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</si>
  <si>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</si>
  <si>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</si>
  <si>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</si>
  <si>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</si>
  <si>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</si>
  <si>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</si>
  <si>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</si>
  <si>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</si>
  <si>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</si>
  <si>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</si>
  <si>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</si>
  <si>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</si>
  <si>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</si>
  <si>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</si>
  <si>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</si>
  <si>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</si>
  <si>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</si>
  <si>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</si>
  <si>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</si>
  <si>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</si>
  <si>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</si>
  <si>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</si>
  <si>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</si>
  <si>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</si>
  <si>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</si>
  <si>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</si>
  <si>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</si>
  <si>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</si>
  <si>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</si>
  <si>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</si>
  <si>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</si>
  <si>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</si>
  <si>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</si>
  <si>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</si>
  <si>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</si>
  <si>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</si>
  <si>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</si>
  <si>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</si>
  <si>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</si>
  <si>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</si>
  <si>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</si>
  <si>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</si>
  <si>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</si>
  <si>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</si>
  <si>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</si>
  <si>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</si>
  <si>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</si>
  <si>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</si>
  <si>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</si>
  <si>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</si>
  <si>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</si>
  <si>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</si>
  <si>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</si>
  <si>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</si>
  <si>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</si>
  <si>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</si>
  <si>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</si>
  <si>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</si>
  <si>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</si>
  <si>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</si>
  <si>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</si>
  <si>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</si>
  <si>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</si>
  <si>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</si>
  <si>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</si>
  <si>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</si>
  <si>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</si>
  <si>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</si>
  <si>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</si>
  <si>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</si>
  <si>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</si>
  <si>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</si>
  <si>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</si>
  <si>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</si>
  <si>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</si>
  <si>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</si>
  <si>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</si>
  <si>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</si>
  <si>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</si>
  <si>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</si>
  <si>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</si>
  <si>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</si>
  <si>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</si>
  <si>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</si>
  <si>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</si>
  <si>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</si>
  <si>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</si>
  <si>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</si>
  <si>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</si>
  <si>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</si>
  <si>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</si>
  <si>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</si>
  <si>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</si>
  <si>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</si>
  <si>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</si>
  <si>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</si>
  <si>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</si>
  <si>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</si>
  <si>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</si>
  <si>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</si>
  <si>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</si>
  <si>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</si>
  <si>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</si>
  <si>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</si>
  <si>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</si>
  <si>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</si>
  <si>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</si>
  <si>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</si>
  <si>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</si>
  <si>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</si>
  <si>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</si>
  <si>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</si>
  <si>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</si>
  <si>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</si>
  <si>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</si>
  <si>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</si>
  <si>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</si>
  <si>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</si>
  <si>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</si>
  <si>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</si>
  <si>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</si>
  <si>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</si>
  <si>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</si>
  <si>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</si>
  <si>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</si>
  <si>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</si>
  <si>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</si>
  <si>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</si>
  <si>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</si>
  <si>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</si>
  <si>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</si>
  <si>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</si>
  <si>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</si>
  <si>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</si>
  <si>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</si>
  <si>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</si>
  <si>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</si>
  <si>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</si>
  <si>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</si>
  <si>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</si>
  <si>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</si>
  <si>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</si>
  <si>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</si>
  <si>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</si>
  <si>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</si>
  <si>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</si>
  <si>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</si>
  <si>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</si>
  <si>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</si>
  <si>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</si>
  <si>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</si>
  <si>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</si>
  <si>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</si>
  <si>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</si>
  <si>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</si>
  <si>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</si>
  <si>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</si>
  <si>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</si>
  <si>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</si>
  <si>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</si>
  <si>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</si>
  <si>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</si>
  <si>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</si>
  <si>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</si>
  <si>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</si>
  <si>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</si>
  <si>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</si>
  <si>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</si>
  <si>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</si>
  <si>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</si>
  <si>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</si>
  <si>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</si>
  <si>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</si>
  <si>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</si>
  <si>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</si>
  <si>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</si>
  <si>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</si>
  <si>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</si>
  <si>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</si>
  <si>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</si>
  <si>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</si>
  <si>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</si>
  <si>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</si>
  <si>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</si>
  <si>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</si>
  <si>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</si>
  <si>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</si>
  <si>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</si>
  <si>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</si>
  <si>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</si>
  <si>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</si>
  <si>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</si>
  <si>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</si>
  <si>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</si>
  <si>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</si>
  <si>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</si>
  <si>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</si>
  <si>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</si>
  <si>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</si>
  <si>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</si>
  <si>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</si>
  <si>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</si>
  <si>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</si>
  <si>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</si>
  <si>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</si>
  <si>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</si>
  <si>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</si>
  <si>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</si>
  <si>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</si>
  <si>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</si>
  <si>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</si>
  <si>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</si>
  <si>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</si>
  <si>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</si>
  <si>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</si>
  <si>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</si>
  <si>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</si>
  <si>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</si>
  <si>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</si>
  <si>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</si>
  <si>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</si>
  <si>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</si>
  <si>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</si>
  <si>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</si>
  <si>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</si>
  <si>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</si>
  <si>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</si>
  <si>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</si>
  <si>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</si>
  <si>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</si>
  <si>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</si>
  <si>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</si>
  <si>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</si>
  <si>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</si>
  <si>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</si>
  <si>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</si>
  <si>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</si>
  <si>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</si>
  <si>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</si>
  <si>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</si>
  <si>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</si>
  <si>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</si>
  <si>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</si>
  <si>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</si>
  <si>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</si>
  <si>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</si>
  <si>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</si>
  <si>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</si>
  <si>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</si>
  <si>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</si>
  <si>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</si>
  <si>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</si>
  <si>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</si>
  <si>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</si>
  <si>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</si>
  <si>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</si>
  <si>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</si>
  <si>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</si>
  <si>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</si>
  <si>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</si>
  <si>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</si>
  <si>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</si>
  <si>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</si>
  <si>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</si>
  <si>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</si>
  <si>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</si>
  <si>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</si>
  <si>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</si>
  <si>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</si>
  <si>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</si>
  <si>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</si>
  <si>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</si>
  <si>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</si>
  <si>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</si>
  <si>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</si>
  <si>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</si>
  <si>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</si>
  <si>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</si>
  <si>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</si>
  <si>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</si>
  <si>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</si>
  <si>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</si>
  <si>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</si>
  <si>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</si>
  <si>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</si>
  <si>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</si>
  <si>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</si>
  <si>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</si>
  <si>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</si>
  <si>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</si>
  <si>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</si>
  <si>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</si>
  <si>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</si>
  <si>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</si>
  <si>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</si>
  <si>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</si>
  <si>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</si>
  <si>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</si>
  <si>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</si>
  <si>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</si>
  <si>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</si>
  <si>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</si>
  <si>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</si>
  <si>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</si>
  <si>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</si>
  <si>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</si>
  <si>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</si>
  <si>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</si>
  <si>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</si>
  <si>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</si>
  <si>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</si>
  <si>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</si>
  <si>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</si>
  <si>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</si>
  <si>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</si>
  <si>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</si>
  <si>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</si>
  <si>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</si>
  <si>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</si>
  <si>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</si>
  <si>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</si>
  <si>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</si>
  <si>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</si>
  <si>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</si>
  <si>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</si>
  <si>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</si>
  <si>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</si>
  <si>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</si>
  <si>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</si>
  <si>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</si>
  <si>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</si>
  <si>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</si>
  <si>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</si>
  <si>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</si>
  <si>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</si>
  <si>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</si>
  <si>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</si>
  <si>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</si>
  <si>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</si>
  <si>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</si>
  <si>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</si>
  <si>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</si>
  <si>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</si>
  <si>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</si>
  <si>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</si>
  <si>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</si>
  <si>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</si>
  <si>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</si>
  <si>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</si>
  <si>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</si>
  <si>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</si>
  <si>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</si>
  <si>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</si>
  <si>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</si>
  <si>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</si>
  <si>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</si>
  <si>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</si>
  <si>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</si>
  <si>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</si>
  <si>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</si>
  <si>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</si>
  <si>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</si>
  <si>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</si>
  <si>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</si>
  <si>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</si>
  <si>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</si>
  <si>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</si>
  <si>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</si>
  <si>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</si>
  <si>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</si>
  <si>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</si>
  <si>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</si>
  <si>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</si>
  <si>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</si>
  <si>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</si>
  <si>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</si>
  <si>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</si>
  <si>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</si>
  <si>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</si>
  <si>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</si>
  <si>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</si>
  <si>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</si>
  <si>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</si>
  <si>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</si>
  <si>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</si>
  <si>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</si>
  <si>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</si>
  <si>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</si>
  <si>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</si>
  <si>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</si>
  <si>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</si>
  <si>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</si>
  <si>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</si>
  <si>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</si>
  <si>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</si>
  <si>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</si>
  <si>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</si>
  <si>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</si>
  <si>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</si>
  <si>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</si>
  <si>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</si>
  <si>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</si>
  <si>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</si>
  <si>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</si>
  <si>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</si>
  <si>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</si>
  <si>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</si>
  <si>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</si>
  <si>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</si>
  <si>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</si>
  <si>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</si>
  <si>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</si>
  <si>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</si>
  <si>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</si>
  <si>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</si>
  <si>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</si>
  <si>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</si>
  <si>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</si>
  <si>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</si>
  <si>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</si>
  <si>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</si>
  <si>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</si>
  <si>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</si>
  <si>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</si>
  <si>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</si>
  <si>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</si>
  <si>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</si>
  <si>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</si>
  <si>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</si>
  <si>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</si>
  <si>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</si>
  <si>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</si>
  <si>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</si>
  <si>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</si>
  <si>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</si>
  <si>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</si>
  <si>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</si>
  <si>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</si>
  <si>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</si>
  <si>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</si>
  <si>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</si>
  <si>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</si>
  <si>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</si>
  <si>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</si>
  <si>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</si>
  <si>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</si>
  <si>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</si>
  <si>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</si>
  <si>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</si>
  <si>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</si>
  <si>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</si>
  <si>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</si>
  <si>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</si>
  <si>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</si>
  <si>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</si>
  <si>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</si>
  <si>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</si>
  <si>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</si>
  <si>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</si>
  <si>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</si>
  <si>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</si>
  <si>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</si>
  <si>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</si>
  <si>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</si>
  <si>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</si>
  <si>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</si>
  <si>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</si>
  <si>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</si>
  <si>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</si>
  <si>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</si>
  <si>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</si>
  <si>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</si>
  <si>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</si>
  <si>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</si>
  <si>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</si>
  <si>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</si>
  <si>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</si>
  <si>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</si>
  <si>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</si>
  <si>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</si>
  <si>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</si>
  <si>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</si>
  <si>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</si>
  <si>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</si>
  <si>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</si>
  <si>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</si>
  <si>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</si>
  <si>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</si>
  <si>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</si>
  <si>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</si>
  <si>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</si>
  <si>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</si>
  <si>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</si>
  <si>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</si>
  <si>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</si>
  <si>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</si>
  <si>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</si>
  <si>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</si>
  <si>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</si>
  <si>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</si>
  <si>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</si>
  <si>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</si>
  <si>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</si>
  <si>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</si>
  <si>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</si>
  <si>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</si>
  <si>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</si>
  <si>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</si>
  <si>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</si>
  <si>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</si>
  <si>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</si>
  <si>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</si>
  <si>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</si>
  <si>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</si>
  <si>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</si>
  <si>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</si>
  <si>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</si>
  <si>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</si>
  <si>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</si>
  <si>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</si>
  <si>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</si>
  <si>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</si>
  <si>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</si>
  <si>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</si>
  <si>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</si>
  <si>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</si>
  <si>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</si>
  <si>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</si>
  <si>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</si>
  <si>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</si>
  <si>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11007</t>
  </si>
  <si>
    <t>BORSBEEK</t>
  </si>
  <si>
    <t>Paarden&amp;pony's 200 - 600 kg</t>
  </si>
  <si>
    <t>Paarden&amp;pony's &lt; 200 kg</t>
  </si>
  <si>
    <t>Fluvius</t>
  </si>
  <si>
    <t>referentietaak LNE (2017); Jaarverslag De Lijn</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</si>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</sst>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65906.927144008077</c:v>
                </c:pt>
                <c:pt idx="1">
                  <c:v>22194.506259020694</c:v>
                </c:pt>
                <c:pt idx="2">
                  <c:v>466.85</c:v>
                </c:pt>
                <c:pt idx="3">
                  <c:v>20756.806228192239</c:v>
                </c:pt>
                <c:pt idx="4">
                  <c:v>3867.3601607116052</c:v>
                </c:pt>
                <c:pt idx="5">
                  <c:v>29725.841032563625</c:v>
                </c:pt>
                <c:pt idx="6">
                  <c:v>1074.368030908822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65906.927144008077</c:v>
                </c:pt>
                <c:pt idx="1">
                  <c:v>22194.506259020694</c:v>
                </c:pt>
                <c:pt idx="2">
                  <c:v>466.85</c:v>
                </c:pt>
                <c:pt idx="3">
                  <c:v>20756.806228192239</c:v>
                </c:pt>
                <c:pt idx="4">
                  <c:v>3867.3601607116052</c:v>
                </c:pt>
                <c:pt idx="5">
                  <c:v>29725.841032563625</c:v>
                </c:pt>
                <c:pt idx="6">
                  <c:v>1074.368030908822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13306.361070084226</c:v>
                </c:pt>
                <c:pt idx="2">
                  <c:v>4765.2730581234609</c:v>
                </c:pt>
                <c:pt idx="3">
                  <c:v>104.44271173673482</c:v>
                </c:pt>
                <c:pt idx="4">
                  <c:v>4949.3068264492968</c:v>
                </c:pt>
                <c:pt idx="5">
                  <c:v>823.34097138818311</c:v>
                </c:pt>
                <c:pt idx="6">
                  <c:v>7612.9932605794402</c:v>
                </c:pt>
                <c:pt idx="7">
                  <c:v>278.23687348896289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13306.361070084226</c:v>
                </c:pt>
                <c:pt idx="2">
                  <c:v>4765.2730581234609</c:v>
                </c:pt>
                <c:pt idx="3">
                  <c:v>104.44271173673482</c:v>
                </c:pt>
                <c:pt idx="4">
                  <c:v>4949.3068264492968</c:v>
                </c:pt>
                <c:pt idx="5">
                  <c:v>823.34097138818311</c:v>
                </c:pt>
                <c:pt idx="6">
                  <c:v>7612.9932605794402</c:v>
                </c:pt>
                <c:pt idx="7">
                  <c:v>278.23687348896289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11007</v>
      </c>
      <c r="B6" s="390"/>
      <c r="C6" s="391"/>
    </row>
    <row r="7" spans="1:7" s="388" customFormat="1" ht="15.75" customHeight="1">
      <c r="A7" s="392" t="str">
        <f>txtMunicipality</f>
        <v>BORSBEEK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0.22371792168091426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0.22371792168091426</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4662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74.349999999999994</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0</v>
      </c>
      <c r="C17" s="330"/>
      <c r="D17" s="330"/>
      <c r="E17" s="330"/>
      <c r="F17" s="330"/>
    </row>
    <row r="18" spans="1:6">
      <c r="A18" s="1291" t="s">
        <v>8</v>
      </c>
      <c r="B18" s="1292">
        <v>0</v>
      </c>
      <c r="C18" s="330"/>
      <c r="D18" s="330"/>
      <c r="E18" s="330"/>
      <c r="F18" s="330"/>
    </row>
    <row r="19" spans="1:6">
      <c r="A19" s="1291" t="s">
        <v>9</v>
      </c>
      <c r="B19" s="1292">
        <v>3</v>
      </c>
      <c r="C19" s="330"/>
      <c r="D19" s="330"/>
      <c r="E19" s="330"/>
      <c r="F19" s="330"/>
    </row>
    <row r="20" spans="1:6">
      <c r="A20" s="1291" t="s">
        <v>10</v>
      </c>
      <c r="B20" s="1292">
        <v>4</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14</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39</v>
      </c>
      <c r="C29" s="336"/>
      <c r="D29" s="336"/>
      <c r="E29" s="336"/>
      <c r="F29" s="336"/>
    </row>
    <row r="30" spans="1:6">
      <c r="A30" s="1286" t="s">
        <v>893</v>
      </c>
      <c r="B30" s="1295">
        <v>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866.45472685000004</v>
      </c>
      <c r="E38" s="1292">
        <v>3</v>
      </c>
      <c r="F38" s="1292">
        <v>2495.8423333000001</v>
      </c>
    </row>
    <row r="39" spans="1:6">
      <c r="A39" s="1291" t="s">
        <v>29</v>
      </c>
      <c r="B39" s="1291" t="s">
        <v>30</v>
      </c>
      <c r="C39" s="1292">
        <v>4166</v>
      </c>
      <c r="D39" s="1292">
        <v>53548648.898000002</v>
      </c>
      <c r="E39" s="1292">
        <v>4942</v>
      </c>
      <c r="F39" s="1292">
        <v>14411732.567</v>
      </c>
    </row>
    <row r="40" spans="1:6">
      <c r="A40" s="1291" t="s">
        <v>29</v>
      </c>
      <c r="B40" s="1291" t="s">
        <v>28</v>
      </c>
      <c r="C40" s="1292">
        <v>0</v>
      </c>
      <c r="D40" s="1292">
        <v>0</v>
      </c>
      <c r="E40" s="1292">
        <v>0</v>
      </c>
      <c r="F40" s="1292">
        <v>0</v>
      </c>
    </row>
    <row r="41" spans="1:6">
      <c r="A41" s="1291" t="s">
        <v>31</v>
      </c>
      <c r="B41" s="1291" t="s">
        <v>32</v>
      </c>
      <c r="C41" s="1292">
        <v>16</v>
      </c>
      <c r="D41" s="1292">
        <v>238598.88401000001</v>
      </c>
      <c r="E41" s="1292">
        <v>49</v>
      </c>
      <c r="F41" s="1292">
        <v>446554.10741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17</v>
      </c>
      <c r="D48" s="1292">
        <v>804118.27356999996</v>
      </c>
      <c r="E48" s="1292">
        <v>18</v>
      </c>
      <c r="F48" s="1292">
        <v>984539.15893000003</v>
      </c>
    </row>
    <row r="49" spans="1:6">
      <c r="A49" s="1291" t="s">
        <v>31</v>
      </c>
      <c r="B49" s="1291" t="s">
        <v>39</v>
      </c>
      <c r="C49" s="1292">
        <v>0</v>
      </c>
      <c r="D49" s="1292">
        <v>0</v>
      </c>
      <c r="E49" s="1292">
        <v>0</v>
      </c>
      <c r="F49" s="1292">
        <v>0</v>
      </c>
    </row>
    <row r="50" spans="1:6">
      <c r="A50" s="1291" t="s">
        <v>31</v>
      </c>
      <c r="B50" s="1291" t="s">
        <v>40</v>
      </c>
      <c r="C50" s="1292">
        <v>0</v>
      </c>
      <c r="D50" s="1292">
        <v>0</v>
      </c>
      <c r="E50" s="1292">
        <v>4</v>
      </c>
      <c r="F50" s="1292">
        <v>387810.28928999999</v>
      </c>
    </row>
    <row r="51" spans="1:6">
      <c r="A51" s="1291" t="s">
        <v>41</v>
      </c>
      <c r="B51" s="1291" t="s">
        <v>42</v>
      </c>
      <c r="C51" s="1292">
        <v>0</v>
      </c>
      <c r="D51" s="1292">
        <v>0</v>
      </c>
      <c r="E51" s="1292">
        <v>11</v>
      </c>
      <c r="F51" s="1292">
        <v>145061.5459</v>
      </c>
    </row>
    <row r="52" spans="1:6">
      <c r="A52" s="1291" t="s">
        <v>41</v>
      </c>
      <c r="B52" s="1291" t="s">
        <v>28</v>
      </c>
      <c r="C52" s="1292">
        <v>4</v>
      </c>
      <c r="D52" s="1292">
        <v>42910928.397</v>
      </c>
      <c r="E52" s="1292">
        <v>4</v>
      </c>
      <c r="F52" s="1292">
        <v>5277.6675713000004</v>
      </c>
    </row>
    <row r="53" spans="1:6">
      <c r="A53" s="1291" t="s">
        <v>43</v>
      </c>
      <c r="B53" s="1291" t="s">
        <v>44</v>
      </c>
      <c r="C53" s="1292">
        <v>84</v>
      </c>
      <c r="D53" s="1292">
        <v>1374679.405</v>
      </c>
      <c r="E53" s="1292">
        <v>314</v>
      </c>
      <c r="F53" s="1292">
        <v>1167659.2945000001</v>
      </c>
    </row>
    <row r="54" spans="1:6">
      <c r="A54" s="1291" t="s">
        <v>45</v>
      </c>
      <c r="B54" s="1291" t="s">
        <v>46</v>
      </c>
      <c r="C54" s="1292">
        <v>0</v>
      </c>
      <c r="D54" s="1292">
        <v>0</v>
      </c>
      <c r="E54" s="1292">
        <v>1</v>
      </c>
      <c r="F54" s="1292">
        <v>466850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21</v>
      </c>
      <c r="D57" s="1292">
        <v>382207.51759</v>
      </c>
      <c r="E57" s="1292">
        <v>35</v>
      </c>
      <c r="F57" s="1292">
        <v>223053.55090999999</v>
      </c>
    </row>
    <row r="58" spans="1:6">
      <c r="A58" s="1291" t="s">
        <v>48</v>
      </c>
      <c r="B58" s="1291" t="s">
        <v>50</v>
      </c>
      <c r="C58" s="1292">
        <v>17</v>
      </c>
      <c r="D58" s="1292">
        <v>1958573.5205000001</v>
      </c>
      <c r="E58" s="1292">
        <v>23</v>
      </c>
      <c r="F58" s="1292">
        <v>573436.03367999999</v>
      </c>
    </row>
    <row r="59" spans="1:6">
      <c r="A59" s="1291" t="s">
        <v>48</v>
      </c>
      <c r="B59" s="1291" t="s">
        <v>51</v>
      </c>
      <c r="C59" s="1292">
        <v>41</v>
      </c>
      <c r="D59" s="1292">
        <v>1482211.1721000001</v>
      </c>
      <c r="E59" s="1292">
        <v>80</v>
      </c>
      <c r="F59" s="1292">
        <v>5370254.3322000001</v>
      </c>
    </row>
    <row r="60" spans="1:6">
      <c r="A60" s="1291" t="s">
        <v>48</v>
      </c>
      <c r="B60" s="1291" t="s">
        <v>52</v>
      </c>
      <c r="C60" s="1292">
        <v>26</v>
      </c>
      <c r="D60" s="1292">
        <v>1523761.7257999999</v>
      </c>
      <c r="E60" s="1292">
        <v>29</v>
      </c>
      <c r="F60" s="1292">
        <v>700084.07473999995</v>
      </c>
    </row>
    <row r="61" spans="1:6">
      <c r="A61" s="1291" t="s">
        <v>48</v>
      </c>
      <c r="B61" s="1291" t="s">
        <v>53</v>
      </c>
      <c r="C61" s="1292">
        <v>82</v>
      </c>
      <c r="D61" s="1292">
        <v>2663699.4144000001</v>
      </c>
      <c r="E61" s="1292">
        <v>154</v>
      </c>
      <c r="F61" s="1292">
        <v>811753.77842999995</v>
      </c>
    </row>
    <row r="62" spans="1:6">
      <c r="A62" s="1291" t="s">
        <v>48</v>
      </c>
      <c r="B62" s="1291" t="s">
        <v>54</v>
      </c>
      <c r="C62" s="1292">
        <v>0</v>
      </c>
      <c r="D62" s="1292">
        <v>0</v>
      </c>
      <c r="E62" s="1292">
        <v>5</v>
      </c>
      <c r="F62" s="1292">
        <v>198751.89253000001</v>
      </c>
    </row>
    <row r="63" spans="1:6">
      <c r="A63" s="1291" t="s">
        <v>48</v>
      </c>
      <c r="B63" s="1291" t="s">
        <v>28</v>
      </c>
      <c r="C63" s="1292">
        <v>83</v>
      </c>
      <c r="D63" s="1292">
        <v>3553858.7226999998</v>
      </c>
      <c r="E63" s="1292">
        <v>85</v>
      </c>
      <c r="F63" s="1292">
        <v>1224930.0297999999</v>
      </c>
    </row>
    <row r="64" spans="1:6">
      <c r="A64" s="1291" t="s">
        <v>55</v>
      </c>
      <c r="B64" s="1291" t="s">
        <v>56</v>
      </c>
      <c r="C64" s="1292">
        <v>0</v>
      </c>
      <c r="D64" s="1292">
        <v>0</v>
      </c>
      <c r="E64" s="1292">
        <v>0</v>
      </c>
      <c r="F64" s="1292">
        <v>0</v>
      </c>
    </row>
    <row r="65" spans="1:6">
      <c r="A65" s="1291" t="s">
        <v>55</v>
      </c>
      <c r="B65" s="1291" t="s">
        <v>28</v>
      </c>
      <c r="C65" s="1292">
        <v>2</v>
      </c>
      <c r="D65" s="1292">
        <v>64922.813484999999</v>
      </c>
      <c r="E65" s="1292">
        <v>3</v>
      </c>
      <c r="F65" s="1292">
        <v>18594.640762999999</v>
      </c>
    </row>
    <row r="66" spans="1:6">
      <c r="A66" s="1291" t="s">
        <v>55</v>
      </c>
      <c r="B66" s="1291" t="s">
        <v>57</v>
      </c>
      <c r="C66" s="1292">
        <v>0</v>
      </c>
      <c r="D66" s="1292">
        <v>0</v>
      </c>
      <c r="E66" s="1292">
        <v>4</v>
      </c>
      <c r="F66" s="1292">
        <v>149557.25030000001</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10699.998781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28068221</v>
      </c>
      <c r="E73" s="449"/>
      <c r="F73" s="330"/>
    </row>
    <row r="74" spans="1:6">
      <c r="A74" s="1291" t="s">
        <v>63</v>
      </c>
      <c r="B74" s="1291" t="s">
        <v>664</v>
      </c>
      <c r="C74" s="1305" t="s">
        <v>666</v>
      </c>
      <c r="D74" s="1306">
        <v>3131714.8896199358</v>
      </c>
      <c r="E74" s="449"/>
      <c r="F74" s="330"/>
    </row>
    <row r="75" spans="1:6">
      <c r="A75" s="1291" t="s">
        <v>64</v>
      </c>
      <c r="B75" s="1291" t="s">
        <v>663</v>
      </c>
      <c r="C75" s="1305" t="s">
        <v>667</v>
      </c>
      <c r="D75" s="1306">
        <v>4295891</v>
      </c>
      <c r="E75" s="449"/>
      <c r="F75" s="330"/>
    </row>
    <row r="76" spans="1:6">
      <c r="A76" s="1291" t="s">
        <v>64</v>
      </c>
      <c r="B76" s="1291" t="s">
        <v>664</v>
      </c>
      <c r="C76" s="1305" t="s">
        <v>668</v>
      </c>
      <c r="D76" s="1306">
        <v>13797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291512.22076012811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713.85896541115187</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3365</v>
      </c>
      <c r="C97" s="330"/>
      <c r="D97" s="330"/>
      <c r="E97" s="330"/>
      <c r="F97" s="330"/>
    </row>
    <row r="98" spans="1:6">
      <c r="A98" s="1291" t="s">
        <v>71</v>
      </c>
      <c r="B98" s="1292">
        <v>3</v>
      </c>
      <c r="C98" s="330"/>
      <c r="D98" s="330"/>
      <c r="E98" s="330"/>
      <c r="F98" s="330"/>
    </row>
    <row r="99" spans="1:6">
      <c r="A99" s="1291" t="s">
        <v>72</v>
      </c>
      <c r="B99" s="1292">
        <v>5</v>
      </c>
      <c r="C99" s="330"/>
      <c r="D99" s="330"/>
      <c r="E99" s="330"/>
      <c r="F99" s="330"/>
    </row>
    <row r="100" spans="1:6">
      <c r="A100" s="1291" t="s">
        <v>73</v>
      </c>
      <c r="B100" s="1292">
        <v>256</v>
      </c>
      <c r="C100" s="330"/>
      <c r="D100" s="330"/>
      <c r="E100" s="330"/>
      <c r="F100" s="330"/>
    </row>
    <row r="101" spans="1:6">
      <c r="A101" s="1291" t="s">
        <v>74</v>
      </c>
      <c r="B101" s="1292">
        <v>14</v>
      </c>
      <c r="C101" s="330"/>
      <c r="D101" s="330"/>
      <c r="E101" s="330"/>
      <c r="F101" s="330"/>
    </row>
    <row r="102" spans="1:6">
      <c r="A102" s="1291" t="s">
        <v>75</v>
      </c>
      <c r="B102" s="1292">
        <v>57</v>
      </c>
      <c r="C102" s="330"/>
      <c r="D102" s="330"/>
      <c r="E102" s="330"/>
      <c r="F102" s="330"/>
    </row>
    <row r="103" spans="1:6">
      <c r="A103" s="1291" t="s">
        <v>76</v>
      </c>
      <c r="B103" s="1292">
        <v>40</v>
      </c>
      <c r="C103" s="330"/>
      <c r="D103" s="330"/>
      <c r="E103" s="330"/>
      <c r="F103" s="330"/>
    </row>
    <row r="104" spans="1:6">
      <c r="A104" s="1291" t="s">
        <v>77</v>
      </c>
      <c r="B104" s="1292">
        <v>517</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v>
      </c>
      <c r="C123" s="1292">
        <v>6</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20</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27838.266274918198</v>
      </c>
      <c r="C3" s="43" t="s">
        <v>169</v>
      </c>
      <c r="D3" s="43"/>
      <c r="E3" s="154"/>
      <c r="F3" s="43"/>
      <c r="G3" s="43"/>
      <c r="H3" s="43"/>
      <c r="I3" s="43"/>
      <c r="J3" s="43"/>
      <c r="K3" s="96"/>
    </row>
    <row r="4" spans="1:11">
      <c r="A4" s="358" t="s">
        <v>170</v>
      </c>
      <c r="B4" s="49">
        <f>IF(ISERROR('SEAP template'!B78+'SEAP template'!C78),0,'SEAP template'!B78+'SEAP template'!C78)</f>
        <v>14735.858965411151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3332.2870588235296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0.22371792168091426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4760.4100840336141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20031.428571428572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466.85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466.85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0.22371792168091426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104.44271173673482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14411.732566999999</v>
      </c>
      <c r="C5" s="17">
        <f>IF(ISERROR('Eigen informatie GS &amp; warmtenet'!B57),0,'Eigen informatie GS &amp; warmtenet'!B57)</f>
        <v>0</v>
      </c>
      <c r="D5" s="30">
        <f>(SUM(HH_hh_gas_kWh,HH_rest_gas_kWh)/1000)*0.902</f>
        <v>48300.881305996001</v>
      </c>
      <c r="E5" s="17">
        <f>B46*B57</f>
        <v>730.03147333733307</v>
      </c>
      <c r="F5" s="17">
        <f>B51*B62</f>
        <v>0</v>
      </c>
      <c r="G5" s="18"/>
      <c r="H5" s="17"/>
      <c r="I5" s="17"/>
      <c r="J5" s="17">
        <f>B50*B61+C50*C61</f>
        <v>0</v>
      </c>
      <c r="K5" s="17"/>
      <c r="L5" s="17"/>
      <c r="M5" s="17"/>
      <c r="N5" s="17">
        <f>B48*B59+C48*C59</f>
        <v>1633.5094989302688</v>
      </c>
      <c r="O5" s="17">
        <f>B69*B70*B71</f>
        <v>40.646666666666668</v>
      </c>
      <c r="P5" s="17">
        <f>B77*B78*B79/1000-B77*B78*B79/1000/B80</f>
        <v>76.266666666666666</v>
      </c>
    </row>
    <row r="6" spans="1:16">
      <c r="A6" s="16" t="s">
        <v>623</v>
      </c>
      <c r="B6" s="762">
        <f>kWh_PV_kleiner_dan_10kW</f>
        <v>713.85896541115187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15125.59153241115</v>
      </c>
      <c r="C8" s="21">
        <f>C5</f>
        <v>0</v>
      </c>
      <c r="D8" s="21">
        <f>D5</f>
        <v>48300.881305996001</v>
      </c>
      <c r="E8" s="21">
        <f>E5</f>
        <v>730.03147333733307</v>
      </c>
      <c r="F8" s="21">
        <f>F5</f>
        <v>0</v>
      </c>
      <c r="G8" s="21"/>
      <c r="H8" s="21"/>
      <c r="I8" s="21"/>
      <c r="J8" s="21">
        <f>J5</f>
        <v>0</v>
      </c>
      <c r="K8" s="21"/>
      <c r="L8" s="21">
        <f>L5</f>
        <v>0</v>
      </c>
      <c r="M8" s="21">
        <f>M5</f>
        <v>0</v>
      </c>
      <c r="N8" s="21">
        <f>N5</f>
        <v>1633.5094989302688</v>
      </c>
      <c r="O8" s="21">
        <f>O5</f>
        <v>40.646666666666668</v>
      </c>
      <c r="P8" s="21">
        <f>P5</f>
        <v>76.266666666666666</v>
      </c>
    </row>
    <row r="9" spans="1:16">
      <c r="B9" s="19"/>
      <c r="C9" s="19"/>
      <c r="D9" s="258"/>
      <c r="E9" s="19"/>
      <c r="F9" s="19"/>
      <c r="G9" s="19"/>
      <c r="H9" s="19"/>
      <c r="I9" s="19"/>
      <c r="J9" s="19"/>
      <c r="K9" s="19"/>
      <c r="L9" s="19"/>
      <c r="M9" s="19"/>
      <c r="N9" s="19"/>
      <c r="O9" s="19"/>
      <c r="P9" s="19"/>
    </row>
    <row r="10" spans="1:16">
      <c r="A10" s="24" t="s">
        <v>213</v>
      </c>
      <c r="B10" s="25">
        <f ca="1">'EF ele_warmte'!B12</f>
        <v>0.22371792168091426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3383.8659018254575</v>
      </c>
      <c r="C12" s="23">
        <f ca="1">C10*C8</f>
        <v>0</v>
      </c>
      <c r="D12" s="23">
        <f>D8*D10</f>
        <v>9756.7780238111936</v>
      </c>
      <c r="E12" s="23">
        <f>E10*E8</f>
        <v>165.71714444757461</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3365</v>
      </c>
      <c r="C18" s="166" t="s">
        <v>110</v>
      </c>
      <c r="D18" s="228"/>
      <c r="E18" s="15"/>
    </row>
    <row r="19" spans="1:7">
      <c r="A19" s="171" t="s">
        <v>71</v>
      </c>
      <c r="B19" s="37">
        <f>aantalw2001_ander</f>
        <v>3</v>
      </c>
      <c r="C19" s="166" t="s">
        <v>110</v>
      </c>
      <c r="D19" s="229"/>
      <c r="E19" s="15"/>
    </row>
    <row r="20" spans="1:7">
      <c r="A20" s="171" t="s">
        <v>72</v>
      </c>
      <c r="B20" s="37">
        <f>aantalw2001_propaan</f>
        <v>5</v>
      </c>
      <c r="C20" s="167">
        <f>IF(ISERROR(B20/SUM($B$20,$B$21,$B$22)*100),0,B20/SUM($B$20,$B$21,$B$22)*100)</f>
        <v>1.8181818181818181</v>
      </c>
      <c r="D20" s="229"/>
      <c r="E20" s="15"/>
    </row>
    <row r="21" spans="1:7">
      <c r="A21" s="171" t="s">
        <v>73</v>
      </c>
      <c r="B21" s="37">
        <f>aantalw2001_elektriciteit</f>
        <v>256</v>
      </c>
      <c r="C21" s="167">
        <f>IF(ISERROR(B21/SUM($B$20,$B$21,$B$22)*100),0,B21/SUM($B$20,$B$21,$B$22)*100)</f>
        <v>93.090909090909093</v>
      </c>
      <c r="D21" s="229"/>
      <c r="E21" s="15"/>
    </row>
    <row r="22" spans="1:7">
      <c r="A22" s="171" t="s">
        <v>74</v>
      </c>
      <c r="B22" s="37">
        <f>aantalw2001_hout</f>
        <v>14</v>
      </c>
      <c r="C22" s="167">
        <f>IF(ISERROR(B22/SUM($B$20,$B$21,$B$22)*100),0,B22/SUM($B$20,$B$21,$B$22)*100)</f>
        <v>5.0909090909090908</v>
      </c>
      <c r="D22" s="229"/>
      <c r="E22" s="15"/>
    </row>
    <row r="23" spans="1:7">
      <c r="A23" s="171" t="s">
        <v>75</v>
      </c>
      <c r="B23" s="37">
        <f>aantalw2001_niet_gespec</f>
        <v>57</v>
      </c>
      <c r="C23" s="166" t="s">
        <v>110</v>
      </c>
      <c r="D23" s="228"/>
      <c r="E23" s="15"/>
    </row>
    <row r="24" spans="1:7">
      <c r="A24" s="171" t="s">
        <v>76</v>
      </c>
      <c r="B24" s="37">
        <f>aantalw2001_steenkool</f>
        <v>40</v>
      </c>
      <c r="C24" s="166" t="s">
        <v>110</v>
      </c>
      <c r="D24" s="229"/>
      <c r="E24" s="15"/>
    </row>
    <row r="25" spans="1:7">
      <c r="A25" s="171" t="s">
        <v>77</v>
      </c>
      <c r="B25" s="37">
        <f>aantalw2001_stookolie</f>
        <v>517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4662</v>
      </c>
      <c r="C28" s="36"/>
      <c r="D28" s="228"/>
    </row>
    <row r="29" spans="1:7" s="15" customFormat="1">
      <c r="A29" s="230" t="s">
        <v>696</v>
      </c>
      <c r="B29" s="37">
        <f>SUM(HH_hh_gas_aantal,HH_rest_gas_aantal)</f>
        <v>4166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4166</v>
      </c>
      <c r="C32" s="167">
        <f>IF(ISERROR(B32/SUM($B$32,$B$34,$B$35,$B$36,$B$38,$B$39)*100),0,B32/SUM($B$32,$B$34,$B$35,$B$36,$B$38,$B$39)*100)</f>
        <v>89.437526835551736</v>
      </c>
      <c r="D32" s="233"/>
      <c r="G32" s="15"/>
    </row>
    <row r="33" spans="1:7">
      <c r="A33" s="171" t="s">
        <v>71</v>
      </c>
      <c r="B33" s="34" t="s">
        <v>110</v>
      </c>
      <c r="C33" s="167"/>
      <c r="D33" s="233"/>
      <c r="G33" s="15"/>
    </row>
    <row r="34" spans="1:7">
      <c r="A34" s="171" t="s">
        <v>72</v>
      </c>
      <c r="B34" s="33">
        <f>IF((($B$28-$B$32-$B$39-$B$77-$B$38)*C20/100)&lt;0,0,($B$28-$B$32-$B$39-$B$77-$B$38)*C20/100)</f>
        <v>8.9454545454545453</v>
      </c>
      <c r="C34" s="167">
        <f>IF(ISERROR(B34/SUM($B$32,$B$34,$B$35,$B$36,$B$38,$B$39)*100),0,B34/SUM($B$32,$B$34,$B$35,$B$36,$B$38,$B$39)*100)</f>
        <v>0.19204496662633203</v>
      </c>
      <c r="D34" s="233"/>
      <c r="G34" s="15"/>
    </row>
    <row r="35" spans="1:7">
      <c r="A35" s="171" t="s">
        <v>73</v>
      </c>
      <c r="B35" s="33">
        <f>IF((($B$28-$B$32-$B$39-$B$77-$B$38)*C21/100)&lt;0,0,($B$28-$B$32-$B$39-$B$77-$B$38)*C21/100)</f>
        <v>458.00727272727272</v>
      </c>
      <c r="C35" s="167">
        <f>IF(ISERROR(B35/SUM($B$32,$B$34,$B$35,$B$36,$B$38,$B$39)*100),0,B35/SUM($B$32,$B$34,$B$35,$B$36,$B$38,$B$39)*100)</f>
        <v>9.8327022912681983</v>
      </c>
      <c r="D35" s="233"/>
      <c r="G35" s="15"/>
    </row>
    <row r="36" spans="1:7">
      <c r="A36" s="171" t="s">
        <v>74</v>
      </c>
      <c r="B36" s="33">
        <f>IF((($B$28-$B$32-$B$39-$B$77-$B$38)*C22/100)&lt;0,0,($B$28-$B$32-$B$39-$B$77-$B$38)*C22/100)</f>
        <v>25.047272727272727</v>
      </c>
      <c r="C36" s="167">
        <f>IF(ISERROR(B36/SUM($B$32,$B$34,$B$35,$B$36,$B$38,$B$39)*100),0,B36/SUM($B$32,$B$34,$B$35,$B$36,$B$38,$B$39)*100)</f>
        <v>0.53772590655372965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4166</v>
      </c>
      <c r="C44" s="34" t="s">
        <v>110</v>
      </c>
      <c r="D44" s="174"/>
    </row>
    <row r="45" spans="1:7">
      <c r="A45" s="171" t="s">
        <v>71</v>
      </c>
      <c r="B45" s="33" t="str">
        <f t="shared" si="0"/>
        <v>-</v>
      </c>
      <c r="C45" s="34" t="s">
        <v>110</v>
      </c>
      <c r="D45" s="174"/>
    </row>
    <row r="46" spans="1:7">
      <c r="A46" s="171" t="s">
        <v>72</v>
      </c>
      <c r="B46" s="33">
        <f t="shared" si="0"/>
        <v>8.9454545454545453</v>
      </c>
      <c r="C46" s="34" t="s">
        <v>110</v>
      </c>
      <c r="D46" s="174"/>
    </row>
    <row r="47" spans="1:7">
      <c r="A47" s="171" t="s">
        <v>73</v>
      </c>
      <c r="B47" s="33">
        <f t="shared" si="0"/>
        <v>458.00727272727272</v>
      </c>
      <c r="C47" s="34" t="s">
        <v>110</v>
      </c>
      <c r="D47" s="174"/>
    </row>
    <row r="48" spans="1:7">
      <c r="A48" s="171" t="s">
        <v>74</v>
      </c>
      <c r="B48" s="33">
        <f t="shared" si="0"/>
        <v>25.047272727272727</v>
      </c>
      <c r="C48" s="33">
        <f>B48*10</f>
        <v>250.47272727272727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9102.2636922900001</v>
      </c>
      <c r="C5" s="17">
        <f>IF(ISERROR('Eigen informatie GS &amp; warmtenet'!B58),0,'Eigen informatie GS &amp; warmtenet'!B58)</f>
        <v>0</v>
      </c>
      <c r="D5" s="30">
        <f>SUM(D6:D12)</f>
        <v>10431.009489927179</v>
      </c>
      <c r="E5" s="17">
        <f>SUM(E6:E12)</f>
        <v>225.6144137297573</v>
      </c>
      <c r="F5" s="17">
        <f>SUM(F6:F12)</f>
        <v>2137.2852187668632</v>
      </c>
      <c r="G5" s="18"/>
      <c r="H5" s="17"/>
      <c r="I5" s="17"/>
      <c r="J5" s="17">
        <f>SUM(J6:J12)</f>
        <v>0</v>
      </c>
      <c r="K5" s="17"/>
      <c r="L5" s="17"/>
      <c r="M5" s="17"/>
      <c r="N5" s="17">
        <f>SUM(N6:N12)</f>
        <v>298.3334443068976</v>
      </c>
      <c r="O5" s="17">
        <f>B38*B39*B40</f>
        <v>0</v>
      </c>
      <c r="P5" s="17">
        <f>B46*B47*B48/1000-B46*B47*B48/1000/B49</f>
        <v>0</v>
      </c>
      <c r="R5" s="32"/>
    </row>
    <row r="6" spans="1:18">
      <c r="A6" s="32" t="s">
        <v>53</v>
      </c>
      <c r="B6" s="37">
        <f>B26</f>
        <v>811.7537784299999</v>
      </c>
      <c r="C6" s="33"/>
      <c r="D6" s="37">
        <f>IF(ISERROR(TER_kantoor_gas_kWh/1000),0,TER_kantoor_gas_kWh/1000)*0.902</f>
        <v>2402.6568717887999</v>
      </c>
      <c r="E6" s="33">
        <f>$C$26*'E Balans VL '!I12/100/3.6*1000000</f>
        <v>10.626856895309031</v>
      </c>
      <c r="F6" s="33">
        <f>$C$26*('E Balans VL '!L12+'E Balans VL '!N12)/100/3.6*1000000</f>
        <v>206.9888251494497</v>
      </c>
      <c r="G6" s="34"/>
      <c r="H6" s="33"/>
      <c r="I6" s="33"/>
      <c r="J6" s="33">
        <f>$C$26*('E Balans VL '!D12+'E Balans VL '!E12)/100/3.6*1000000</f>
        <v>0</v>
      </c>
      <c r="K6" s="33"/>
      <c r="L6" s="33"/>
      <c r="M6" s="33"/>
      <c r="N6" s="33">
        <f>$C$26*'E Balans VL '!Y12/100/3.6*1000000</f>
        <v>0.81448731579905009</v>
      </c>
      <c r="O6" s="33"/>
      <c r="P6" s="33"/>
      <c r="R6" s="32"/>
    </row>
    <row r="7" spans="1:18">
      <c r="A7" s="32" t="s">
        <v>52</v>
      </c>
      <c r="B7" s="37">
        <f t="shared" ref="B7:B12" si="0">B27</f>
        <v>700.08407474000001</v>
      </c>
      <c r="C7" s="33"/>
      <c r="D7" s="37">
        <f>IF(ISERROR(TER_horeca_gas_kWh/1000),0,TER_horeca_gas_kWh/1000)*0.902</f>
        <v>1374.4330766715998</v>
      </c>
      <c r="E7" s="33">
        <f>$C$27*'E Balans VL '!I9/100/3.6*1000000</f>
        <v>23.168524405321694</v>
      </c>
      <c r="F7" s="33">
        <f>$C$27*('E Balans VL '!L9+'E Balans VL '!N9)/100/3.6*1000000</f>
        <v>301.03346909103283</v>
      </c>
      <c r="G7" s="34"/>
      <c r="H7" s="33"/>
      <c r="I7" s="33"/>
      <c r="J7" s="33">
        <f>$C$27*('E Balans VL '!D9+'E Balans VL '!E9)/100/3.6*1000000</f>
        <v>0</v>
      </c>
      <c r="K7" s="33"/>
      <c r="L7" s="33"/>
      <c r="M7" s="33"/>
      <c r="N7" s="33">
        <f>$C$27*'E Balans VL '!Y9/100/3.6*1000000</f>
        <v>0.16852040312634589</v>
      </c>
      <c r="O7" s="33"/>
      <c r="P7" s="33"/>
      <c r="R7" s="32"/>
    </row>
    <row r="8" spans="1:18">
      <c r="A8" s="6" t="s">
        <v>51</v>
      </c>
      <c r="B8" s="37">
        <f t="shared" si="0"/>
        <v>5370.2543322000001</v>
      </c>
      <c r="C8" s="33"/>
      <c r="D8" s="37">
        <f>IF(ISERROR(TER_handel_gas_kWh/1000),0,TER_handel_gas_kWh/1000)*0.902</f>
        <v>1336.9544772342001</v>
      </c>
      <c r="E8" s="33">
        <f>$C$28*'E Balans VL '!I13/100/3.6*1000000</f>
        <v>169.49343222860176</v>
      </c>
      <c r="F8" s="33">
        <f>$C$28*('E Balans VL '!L13+'E Balans VL '!N13)/100/3.6*1000000</f>
        <v>1053.2014388521372</v>
      </c>
      <c r="G8" s="34"/>
      <c r="H8" s="33"/>
      <c r="I8" s="33"/>
      <c r="J8" s="33">
        <f>$C$28*('E Balans VL '!D13+'E Balans VL '!E13)/100/3.6*1000000</f>
        <v>0</v>
      </c>
      <c r="K8" s="33"/>
      <c r="L8" s="33"/>
      <c r="M8" s="33"/>
      <c r="N8" s="33">
        <f>$C$28*'E Balans VL '!Y13/100/3.6*1000000</f>
        <v>6.3734492702425189</v>
      </c>
      <c r="O8" s="33"/>
      <c r="P8" s="33"/>
      <c r="R8" s="32"/>
    </row>
    <row r="9" spans="1:18">
      <c r="A9" s="32" t="s">
        <v>50</v>
      </c>
      <c r="B9" s="37">
        <f t="shared" si="0"/>
        <v>573.43603368000004</v>
      </c>
      <c r="C9" s="33"/>
      <c r="D9" s="37">
        <f>IF(ISERROR(TER_gezond_gas_kWh/1000),0,TER_gezond_gas_kWh/1000)*0.902</f>
        <v>1766.6333154910001</v>
      </c>
      <c r="E9" s="33">
        <f>$C$29*'E Balans VL '!I10/100/3.6*1000000</f>
        <v>7.3416587809988443E-2</v>
      </c>
      <c r="F9" s="33">
        <f>$C$29*('E Balans VL '!L10+'E Balans VL '!N10)/100/3.6*1000000</f>
        <v>119.47076072235568</v>
      </c>
      <c r="G9" s="34"/>
      <c r="H9" s="33"/>
      <c r="I9" s="33"/>
      <c r="J9" s="33">
        <f>$C$29*('E Balans VL '!D10+'E Balans VL '!E10)/100/3.6*1000000</f>
        <v>0</v>
      </c>
      <c r="K9" s="33"/>
      <c r="L9" s="33"/>
      <c r="M9" s="33"/>
      <c r="N9" s="33">
        <f>$C$29*'E Balans VL '!Y10/100/3.6*1000000</f>
        <v>6.7352772570738111</v>
      </c>
      <c r="O9" s="33"/>
      <c r="P9" s="33"/>
      <c r="R9" s="32"/>
    </row>
    <row r="10" spans="1:18">
      <c r="A10" s="32" t="s">
        <v>49</v>
      </c>
      <c r="B10" s="37">
        <f t="shared" si="0"/>
        <v>223.05355090999998</v>
      </c>
      <c r="C10" s="33"/>
      <c r="D10" s="37">
        <f>IF(ISERROR(TER_ander_gas_kWh/1000),0,TER_ander_gas_kWh/1000)*0.902</f>
        <v>344.75118086617999</v>
      </c>
      <c r="E10" s="33">
        <f>$C$30*'E Balans VL '!I14/100/3.6*1000000</f>
        <v>0.33542008604920243</v>
      </c>
      <c r="F10" s="33">
        <f>$C$30*('E Balans VL '!L14+'E Balans VL '!N14)/100/3.6*1000000</f>
        <v>49.243033999607775</v>
      </c>
      <c r="G10" s="34"/>
      <c r="H10" s="33"/>
      <c r="I10" s="33"/>
      <c r="J10" s="33">
        <f>$C$30*('E Balans VL '!D14+'E Balans VL '!E14)/100/3.6*1000000</f>
        <v>0</v>
      </c>
      <c r="K10" s="33"/>
      <c r="L10" s="33"/>
      <c r="M10" s="33"/>
      <c r="N10" s="33">
        <f>$C$30*'E Balans VL '!Y14/100/3.6*1000000</f>
        <v>175.78120905508752</v>
      </c>
      <c r="O10" s="33"/>
      <c r="P10" s="33"/>
      <c r="R10" s="32"/>
    </row>
    <row r="11" spans="1:18">
      <c r="A11" s="32" t="s">
        <v>54</v>
      </c>
      <c r="B11" s="37">
        <f t="shared" si="0"/>
        <v>198.75189253000002</v>
      </c>
      <c r="C11" s="33"/>
      <c r="D11" s="37">
        <f>IF(ISERROR(TER_onderwijs_gas_kWh/1000),0,TER_onderwijs_gas_kWh/1000)*0.902</f>
        <v>0</v>
      </c>
      <c r="E11" s="33">
        <f>$C$31*'E Balans VL '!I11/100/3.6*1000000</f>
        <v>0.35001873809635248</v>
      </c>
      <c r="F11" s="33">
        <f>$C$31*('E Balans VL '!L11+'E Balans VL '!N11)/100/3.6*1000000</f>
        <v>91.767345190648143</v>
      </c>
      <c r="G11" s="34"/>
      <c r="H11" s="33"/>
      <c r="I11" s="33"/>
      <c r="J11" s="33">
        <f>$C$31*('E Balans VL '!D11+'E Balans VL '!E11)/100/3.6*1000000</f>
        <v>0</v>
      </c>
      <c r="K11" s="33"/>
      <c r="L11" s="33"/>
      <c r="M11" s="33"/>
      <c r="N11" s="33">
        <f>$C$31*'E Balans VL '!Y11/100/3.6*1000000</f>
        <v>0.37027752427933014</v>
      </c>
      <c r="O11" s="33"/>
      <c r="P11" s="33"/>
      <c r="R11" s="32"/>
    </row>
    <row r="12" spans="1:18">
      <c r="A12" s="32" t="s">
        <v>259</v>
      </c>
      <c r="B12" s="37">
        <f t="shared" si="0"/>
        <v>1224.9300297999998</v>
      </c>
      <c r="C12" s="33"/>
      <c r="D12" s="37">
        <f>IF(ISERROR(TER_rest_gas_kWh/1000),0,TER_rest_gas_kWh/1000)*0.902</f>
        <v>3205.5805678754</v>
      </c>
      <c r="E12" s="33">
        <f>$C$32*'E Balans VL '!I8/100/3.6*1000000</f>
        <v>21.566744788569295</v>
      </c>
      <c r="F12" s="33">
        <f>$C$32*('E Balans VL '!L8+'E Balans VL '!N8)/100/3.6*1000000</f>
        <v>315.58034576163158</v>
      </c>
      <c r="G12" s="34"/>
      <c r="H12" s="33"/>
      <c r="I12" s="33"/>
      <c r="J12" s="33">
        <f>$C$32*('E Balans VL '!D8+'E Balans VL '!E8)/100/3.6*1000000</f>
        <v>0</v>
      </c>
      <c r="K12" s="33"/>
      <c r="L12" s="33"/>
      <c r="M12" s="33"/>
      <c r="N12" s="33">
        <f>$C$32*'E Balans VL '!Y8/100/3.6*1000000</f>
        <v>108.09022348128909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9102.2636922900001</v>
      </c>
      <c r="C16" s="21">
        <f t="shared" ca="1" si="1"/>
        <v>0</v>
      </c>
      <c r="D16" s="21">
        <f t="shared" ca="1" si="1"/>
        <v>10431.009489927179</v>
      </c>
      <c r="E16" s="21">
        <f t="shared" si="1"/>
        <v>225.6144137297573</v>
      </c>
      <c r="F16" s="21">
        <f t="shared" ca="1" si="1"/>
        <v>2137.2852187668632</v>
      </c>
      <c r="G16" s="21">
        <f t="shared" si="1"/>
        <v>0</v>
      </c>
      <c r="H16" s="21">
        <f t="shared" si="1"/>
        <v>0</v>
      </c>
      <c r="I16" s="21">
        <f t="shared" si="1"/>
        <v>0</v>
      </c>
      <c r="J16" s="21">
        <f t="shared" si="1"/>
        <v>0</v>
      </c>
      <c r="K16" s="21">
        <f t="shared" si="1"/>
        <v>0</v>
      </c>
      <c r="L16" s="21">
        <f t="shared" ca="1" si="1"/>
        <v>0</v>
      </c>
      <c r="M16" s="21">
        <f t="shared" si="1"/>
        <v>0</v>
      </c>
      <c r="N16" s="21">
        <f t="shared" ca="1" si="1"/>
        <v>298.3334443068976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0.22371792168091426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2036.3395158307637</v>
      </c>
      <c r="C20" s="23">
        <f t="shared" ref="C20:P20" ca="1" si="2">C16*C18</f>
        <v>0</v>
      </c>
      <c r="D20" s="23">
        <f t="shared" ca="1" si="2"/>
        <v>2107.0639169652904</v>
      </c>
      <c r="E20" s="23">
        <f t="shared" si="2"/>
        <v>51.214471916654908</v>
      </c>
      <c r="F20" s="23">
        <f t="shared" ca="1" si="2"/>
        <v>570.65515341075252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811.7537784299999</v>
      </c>
      <c r="C26" s="39">
        <f>IF(ISERROR(B26*3.6/1000000/'E Balans VL '!Z12*100),0,B26*3.6/1000000/'E Balans VL '!Z12*100)</f>
        <v>1.7388396560924745E-2</v>
      </c>
      <c r="D26" s="237" t="s">
        <v>659</v>
      </c>
      <c r="F26" s="6"/>
    </row>
    <row r="27" spans="1:18">
      <c r="A27" s="231" t="s">
        <v>52</v>
      </c>
      <c r="B27" s="33">
        <f>IF(ISERROR(TER_horeca_ele_kWh/1000),0,TER_horeca_ele_kWh/1000)</f>
        <v>700.08407474000001</v>
      </c>
      <c r="C27" s="39">
        <f>IF(ISERROR(B27*3.6/1000000/'E Balans VL '!Z9*100),0,B27*3.6/1000000/'E Balans VL '!Z9*100)</f>
        <v>5.6179313530480002E-2</v>
      </c>
      <c r="D27" s="237" t="s">
        <v>659</v>
      </c>
      <c r="F27" s="6"/>
    </row>
    <row r="28" spans="1:18">
      <c r="A28" s="171" t="s">
        <v>51</v>
      </c>
      <c r="B28" s="33">
        <f>IF(ISERROR(TER_handel_ele_kWh/1000),0,TER_handel_ele_kWh/1000)</f>
        <v>5370.2543322000001</v>
      </c>
      <c r="C28" s="39">
        <f>IF(ISERROR(B28*3.6/1000000/'E Balans VL '!Z13*100),0,B28*3.6/1000000/'E Balans VL '!Z13*100)</f>
        <v>0.15839170024966442</v>
      </c>
      <c r="D28" s="237" t="s">
        <v>659</v>
      </c>
      <c r="F28" s="6"/>
    </row>
    <row r="29" spans="1:18">
      <c r="A29" s="231" t="s">
        <v>50</v>
      </c>
      <c r="B29" s="33">
        <f>IF(ISERROR(TER_gezond_ele_kWh/1000),0,TER_gezond_ele_kWh/1000)</f>
        <v>573.43603368000004</v>
      </c>
      <c r="C29" s="39">
        <f>IF(ISERROR(B29*3.6/1000000/'E Balans VL '!Z10*100),0,B29*3.6/1000000/'E Balans VL '!Z10*100)</f>
        <v>6.1227594000425913E-2</v>
      </c>
      <c r="D29" s="237" t="s">
        <v>659</v>
      </c>
      <c r="F29" s="6"/>
    </row>
    <row r="30" spans="1:18">
      <c r="A30" s="231" t="s">
        <v>49</v>
      </c>
      <c r="B30" s="33">
        <f>IF(ISERROR(TER_ander_ele_kWh/1000),0,TER_ander_ele_kWh/1000)</f>
        <v>223.05355090999998</v>
      </c>
      <c r="C30" s="39">
        <f>IF(ISERROR(B30*3.6/1000000/'E Balans VL '!Z14*100),0,B30*3.6/1000000/'E Balans VL '!Z14*100)</f>
        <v>1.6848110596195991E-2</v>
      </c>
      <c r="D30" s="237" t="s">
        <v>659</v>
      </c>
      <c r="F30" s="6"/>
    </row>
    <row r="31" spans="1:18">
      <c r="A31" s="231" t="s">
        <v>54</v>
      </c>
      <c r="B31" s="33">
        <f>IF(ISERROR(TER_onderwijs_ele_kWh/1000),0,TER_onderwijs_ele_kWh/1000)</f>
        <v>198.75189253000002</v>
      </c>
      <c r="C31" s="39">
        <f>IF(ISERROR(B31*3.6/1000000/'E Balans VL '!Z11*100),0,B31*3.6/1000000/'E Balans VL '!Z11*100)</f>
        <v>4.0134641952549815E-2</v>
      </c>
      <c r="D31" s="237" t="s">
        <v>659</v>
      </c>
    </row>
    <row r="32" spans="1:18">
      <c r="A32" s="231" t="s">
        <v>259</v>
      </c>
      <c r="B32" s="33">
        <f>IF(ISERROR(TER_rest_ele_kWh/1000),0,TER_rest_ele_kWh/1000)</f>
        <v>1224.9300297999998</v>
      </c>
      <c r="C32" s="39">
        <f>IF(ISERROR(B32*3.6/1000000/'E Balans VL '!Z8*100),0,B32*3.6/1000000/'E Balans VL '!Z8*100)</f>
        <v>1.0156375649803349E-2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1818.90355563</v>
      </c>
      <c r="C5" s="17">
        <f>IF(ISERROR('Eigen informatie GS &amp; warmtenet'!B59),0,'Eigen informatie GS &amp; warmtenet'!B59)</f>
        <v>0</v>
      </c>
      <c r="D5" s="30">
        <f>SUM(D6:D15)</f>
        <v>940.53087613715991</v>
      </c>
      <c r="E5" s="17">
        <f>SUM(E6:E15)</f>
        <v>177.24296013996826</v>
      </c>
      <c r="F5" s="17">
        <f>SUM(F6:F15)</f>
        <v>686.78918242748023</v>
      </c>
      <c r="G5" s="18"/>
      <c r="H5" s="17"/>
      <c r="I5" s="17"/>
      <c r="J5" s="17">
        <f>SUM(J6:J15)</f>
        <v>7.9817727259831397</v>
      </c>
      <c r="K5" s="17"/>
      <c r="L5" s="17"/>
      <c r="M5" s="17"/>
      <c r="N5" s="17">
        <f>SUM(N6:N15)</f>
        <v>235.91181365101369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446.55410740999997</v>
      </c>
      <c r="C9" s="33"/>
      <c r="D9" s="37">
        <f>IF( ISERROR(IND_andere_gas_kWh/1000),0,IND_andere_gas_kWh/1000)*0.902</f>
        <v>215.21619337702001</v>
      </c>
      <c r="E9" s="33">
        <f>C31*'E Balans VL '!I19/100/3.6*1000000</f>
        <v>113.95050464136138</v>
      </c>
      <c r="F9" s="33">
        <f>C31*'E Balans VL '!L19/100/3.6*1000000+C31*'E Balans VL '!N19/100/3.6*1000000</f>
        <v>384.4495221684287</v>
      </c>
      <c r="G9" s="34"/>
      <c r="H9" s="33"/>
      <c r="I9" s="33"/>
      <c r="J9" s="40">
        <f>C31*'E Balans VL '!D19/100/3.6*1000000+C31*'E Balans VL '!E19/100/3.6*1000000</f>
        <v>0</v>
      </c>
      <c r="K9" s="33"/>
      <c r="L9" s="33"/>
      <c r="M9" s="33"/>
      <c r="N9" s="33">
        <f>C31*'E Balans VL '!Y19/100/3.6*1000000</f>
        <v>35.227893625171419</v>
      </c>
      <c r="O9" s="33"/>
      <c r="P9" s="33"/>
      <c r="R9" s="32"/>
    </row>
    <row r="10" spans="1:18">
      <c r="A10" s="6" t="s">
        <v>40</v>
      </c>
      <c r="B10" s="37">
        <f t="shared" si="0"/>
        <v>387.81028929000001</v>
      </c>
      <c r="C10" s="33"/>
      <c r="D10" s="37">
        <f>IF( ISERROR(IND_voed_gas_kWh/1000),0,IND_voed_gas_kWh/1000)*0.902</f>
        <v>0</v>
      </c>
      <c r="E10" s="33">
        <f>C32*'E Balans VL '!I20/100/3.6*1000000</f>
        <v>9.8586700609170581</v>
      </c>
      <c r="F10" s="33">
        <f>C32*'E Balans VL '!L20/100/3.6*1000000+C32*'E Balans VL '!N20/100/3.6*1000000</f>
        <v>87.755646931835315</v>
      </c>
      <c r="G10" s="34"/>
      <c r="H10" s="33"/>
      <c r="I10" s="33"/>
      <c r="J10" s="40">
        <f>C32*'E Balans VL '!D20/100/3.6*1000000+C32*'E Balans VL '!E20/100/3.6*1000000</f>
        <v>0</v>
      </c>
      <c r="K10" s="33"/>
      <c r="L10" s="33"/>
      <c r="M10" s="33"/>
      <c r="N10" s="33">
        <f>C32*'E Balans VL '!Y20/100/3.6*1000000</f>
        <v>145.43937049511712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984.53915892999999</v>
      </c>
      <c r="C15" s="33"/>
      <c r="D15" s="37">
        <f>IF( ISERROR(IND_rest_gas_kWh/1000),0,IND_rest_gas_kWh/1000)*0.902</f>
        <v>725.31468276013993</v>
      </c>
      <c r="E15" s="33">
        <f>C37*'E Balans VL '!I15/100/3.6*1000000</f>
        <v>53.433785437689835</v>
      </c>
      <c r="F15" s="33">
        <f>C37*'E Balans VL '!L15/100/3.6*1000000+C37*'E Balans VL '!N15/100/3.6*1000000</f>
        <v>214.58401332721627</v>
      </c>
      <c r="G15" s="34"/>
      <c r="H15" s="33"/>
      <c r="I15" s="33"/>
      <c r="J15" s="40">
        <f>C37*'E Balans VL '!D15/100/3.6*1000000+C37*'E Balans VL '!E15/100/3.6*1000000</f>
        <v>7.9817727259831397</v>
      </c>
      <c r="K15" s="33"/>
      <c r="L15" s="33"/>
      <c r="M15" s="33"/>
      <c r="N15" s="33">
        <f>C37*'E Balans VL '!Y15/100/3.6*1000000</f>
        <v>55.244549530725145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1818.90355563</v>
      </c>
      <c r="C18" s="21">
        <f>C5+C16</f>
        <v>0</v>
      </c>
      <c r="D18" s="21">
        <f>MAX((D5+D16),0)</f>
        <v>940.53087613715991</v>
      </c>
      <c r="E18" s="21">
        <f>MAX((E5+E16),0)</f>
        <v>177.24296013996826</v>
      </c>
      <c r="F18" s="21">
        <f>MAX((F5+F16),0)</f>
        <v>686.78918242748023</v>
      </c>
      <c r="G18" s="21"/>
      <c r="H18" s="21"/>
      <c r="I18" s="21"/>
      <c r="J18" s="21">
        <f>MAX((J5+J16),0)</f>
        <v>7.9817727259831397</v>
      </c>
      <c r="K18" s="21"/>
      <c r="L18" s="21">
        <f>MAX((L5+L16),0)</f>
        <v>0</v>
      </c>
      <c r="M18" s="21"/>
      <c r="N18" s="21">
        <f>MAX((N5+N16),0)</f>
        <v>235.91181365101369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0.22371792168091426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406.92132320356882</v>
      </c>
      <c r="C22" s="23">
        <f ca="1">C18*C20</f>
        <v>0</v>
      </c>
      <c r="D22" s="23">
        <f>D18*D20</f>
        <v>189.98723697970632</v>
      </c>
      <c r="E22" s="23">
        <f>E18*E20</f>
        <v>40.234151951772795</v>
      </c>
      <c r="F22" s="23">
        <f>F18*F20</f>
        <v>183.37271170813722</v>
      </c>
      <c r="G22" s="23"/>
      <c r="H22" s="23"/>
      <c r="I22" s="23"/>
      <c r="J22" s="23">
        <f>J18*J20</f>
        <v>2.8255475449980314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446.55410740999997</v>
      </c>
      <c r="C31" s="39">
        <f>IF(ISERROR(B31*3.6/1000000/'E Balans VL '!Z19*100),0,B31*3.6/1000000/'E Balans VL '!Z19*100)</f>
        <v>1.8796476355730025E-2</v>
      </c>
      <c r="D31" s="237" t="s">
        <v>659</v>
      </c>
    </row>
    <row r="32" spans="1:18">
      <c r="A32" s="171" t="s">
        <v>40</v>
      </c>
      <c r="B32" s="37">
        <f>IF( ISERROR(IND_voed_ele_kWh/1000),0,IND_voed_ele_kWh/1000)</f>
        <v>387.81028929000001</v>
      </c>
      <c r="C32" s="39">
        <f>IF(ISERROR(B32*3.6/1000000/'E Balans VL '!Z20*100),0,B32*3.6/1000000/'E Balans VL '!Z20*100)</f>
        <v>6.4788096597541492E-2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984.53915892999999</v>
      </c>
      <c r="C37" s="39">
        <f>IF(ISERROR(B37*3.6/1000000/'E Balans VL '!Z15*100),0,B37*3.6/1000000/'E Balans VL '!Z15*100)</f>
        <v>7.9485658610774744E-3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150.33921347129998</v>
      </c>
      <c r="C5" s="17">
        <f>'Eigen informatie GS &amp; warmtenet'!B60</f>
        <v>0</v>
      </c>
      <c r="D5" s="30">
        <f>IF(ISERROR(SUM(LB_lb_gas_kWh,LB_rest_gas_kWh)/1000),0,SUM(LB_lb_gas_kWh,LB_rest_gas_kWh)/1000)*0.902</f>
        <v>38705.657414094007</v>
      </c>
      <c r="E5" s="17">
        <f>B17*'E Balans VL '!I25/3.6*1000000/100</f>
        <v>3.8766710795820778</v>
      </c>
      <c r="F5" s="17">
        <f>B17*('E Balans VL '!L25/3.6*1000000+'E Balans VL '!N25/3.6*1000000)/100</f>
        <v>549.51845595000884</v>
      </c>
      <c r="G5" s="18"/>
      <c r="H5" s="17"/>
      <c r="I5" s="17"/>
      <c r="J5" s="17">
        <f>('E Balans VL '!D25+'E Balans VL '!E25)/3.6*1000000*landbouw!B17/100</f>
        <v>21.643316262776437</v>
      </c>
      <c r="K5" s="17"/>
      <c r="L5" s="17">
        <f>L6*(-1)</f>
        <v>0</v>
      </c>
      <c r="M5" s="17"/>
      <c r="N5" s="17">
        <f>N6*(-1)</f>
        <v>0</v>
      </c>
      <c r="O5" s="17"/>
      <c r="P5" s="17"/>
      <c r="R5" s="32"/>
    </row>
    <row r="6" spans="1:18">
      <c r="A6" s="16" t="s">
        <v>490</v>
      </c>
      <c r="B6" s="17" t="s">
        <v>210</v>
      </c>
      <c r="C6" s="17">
        <f>'lokale energieproductie'!O39+'lokale energieproductie'!O32</f>
        <v>20031.428571428572</v>
      </c>
      <c r="D6" s="308">
        <f>('lokale energieproductie'!P32+'lokale energieproductie'!P39)*(-1)</f>
        <v>-40062.857142857145</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150.33921347129998</v>
      </c>
      <c r="C8" s="21">
        <f>C5+C6</f>
        <v>20031.428571428572</v>
      </c>
      <c r="D8" s="21">
        <f>MAX((D5+D6),0)</f>
        <v>0</v>
      </c>
      <c r="E8" s="21">
        <f>MAX((E5+E6),0)</f>
        <v>3.8766710795820778</v>
      </c>
      <c r="F8" s="21">
        <f>MAX((F5+F6),0)</f>
        <v>549.51845595000884</v>
      </c>
      <c r="G8" s="21"/>
      <c r="H8" s="21"/>
      <c r="I8" s="21"/>
      <c r="J8" s="21">
        <f>MAX((J5+J6),0)</f>
        <v>21.643316262776437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0.22371792168091426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33.633576384942536</v>
      </c>
      <c r="C12" s="23">
        <f ca="1">C8*C10</f>
        <v>4760.4100840336141</v>
      </c>
      <c r="D12" s="23">
        <f>D8*D10</f>
        <v>0</v>
      </c>
      <c r="E12" s="23">
        <f>E8*E10</f>
        <v>0.88000433506513165</v>
      </c>
      <c r="F12" s="23">
        <f>F8*F10</f>
        <v>146.72142773865238</v>
      </c>
      <c r="G12" s="23"/>
      <c r="H12" s="23"/>
      <c r="I12" s="23"/>
      <c r="J12" s="23">
        <f>J8*J10</f>
        <v>7.6617339570228582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2.1198824924074083E-2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1.2120779541733575</v>
      </c>
      <c r="C26" s="247">
        <f>B26*'GWP N2O_CH4'!B5</f>
        <v>25.453637037640508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9.8885407396299627E-2</v>
      </c>
      <c r="C27" s="247">
        <f>B27*'GWP N2O_CH4'!B5</f>
        <v>2.0765935553222921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1.0659226143965906E-2</v>
      </c>
      <c r="C28" s="247">
        <f>B28*'GWP N2O_CH4'!B4</f>
        <v>3.3043601046294309</v>
      </c>
      <c r="D28" s="50"/>
    </row>
    <row r="29" spans="1:4">
      <c r="A29" s="41" t="s">
        <v>276</v>
      </c>
      <c r="B29" s="247">
        <f>B34*'ha_N2O bodem landbouw'!B4</f>
        <v>0.49049294378984104</v>
      </c>
      <c r="C29" s="247">
        <f>B29*'GWP N2O_CH4'!B4</f>
        <v>152.05281257485072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1.1038756651463322E-4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2.39723518166792E-5</v>
      </c>
      <c r="C5" s="437" t="s">
        <v>210</v>
      </c>
      <c r="D5" s="422">
        <f>SUM(D6:D11)</f>
        <v>4.7228031304630142E-5</v>
      </c>
      <c r="E5" s="422">
        <f>SUM(E6:E11)</f>
        <v>2.1111233627861943E-4</v>
      </c>
      <c r="F5" s="435" t="s">
        <v>210</v>
      </c>
      <c r="G5" s="422">
        <f>SUM(G6:G11)</f>
        <v>8.7376662774285227E-2</v>
      </c>
      <c r="H5" s="422">
        <f>SUM(H6:H11)</f>
        <v>1.6122012730790416E-2</v>
      </c>
      <c r="I5" s="437" t="s">
        <v>210</v>
      </c>
      <c r="J5" s="437" t="s">
        <v>210</v>
      </c>
      <c r="K5" s="437" t="s">
        <v>210</v>
      </c>
      <c r="L5" s="437" t="s">
        <v>210</v>
      </c>
      <c r="M5" s="422">
        <f>SUM(M6:M11)</f>
        <v>3.2320394927534851E-3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2.079035163023485E-5</v>
      </c>
      <c r="C6" s="423"/>
      <c r="D6" s="865">
        <f>vkm_GW_PW*SUMIFS(TableVerdeelsleutelVkm[CNG],TableVerdeelsleutelVkm[Voertuigtype],"Lichte voertuigen")*SUMIFS(TableECFTransport[EnergieConsumptieFactor (PJ per km)],TableECFTransport[Index],CONCATENATE($A6,"_CNG_CNG"))</f>
        <v>3.7478281876309372E-5</v>
      </c>
      <c r="E6" s="865">
        <f>vkm_GW_PW*SUMIFS(TableVerdeelsleutelVkm[LPG],TableVerdeelsleutelVkm[Voertuigtype],"Lichte voertuigen")*SUMIFS(TableECFTransport[EnergieConsumptieFactor (PJ per km)],TableECFTransport[Index],CONCATENATE($A6,"_LPG_LPG"))</f>
        <v>1.6930537554038589E-4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4.6253997507268087E-2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1.2868348514727165E-2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1.840820934621323E-3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3.0226786485706768E-2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5.4543677646279741E-7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9.5093639725337006E-4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3.1820001864443499E-6</v>
      </c>
      <c r="C8" s="423"/>
      <c r="D8" s="425">
        <f>vkm_NGW_PW*SUMIFS(TableVerdeelsleutelVkm[CNG],TableVerdeelsleutelVkm[Voertuigtype],"Lichte voertuigen")*SUMIFS(TableECFTransport[EnergieConsumptieFactor (PJ per km)],TableECFTransport[Index],CONCATENATE($A8,"_CNG_CNG"))</f>
        <v>9.7497494283207698E-6</v>
      </c>
      <c r="E8" s="425">
        <f>vkm_NGW_PW*SUMIFS(TableVerdeelsleutelVkm[LPG],TableVerdeelsleutelVkm[Voertuigtype],"Lichte voertuigen")*SUMIFS(TableECFTransport[EnergieConsumptieFactor (PJ per km)],TableECFTransport[Index],CONCATENATE($A8,"_LPG_LPG"))</f>
        <v>4.1806960738233529E-5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1.0724433415797758E-2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3.253114960239634E-3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4.3488845832886344E-4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1.7144536551260651E-4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3.8190471513036469E-9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5.3937025499281147E-6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6.6589866157442223</v>
      </c>
      <c r="C14" s="21"/>
      <c r="D14" s="21">
        <f t="shared" ref="D14:M14" si="0">((D5)*10^9/3600)+D12</f>
        <v>13.118897584619484</v>
      </c>
      <c r="E14" s="21">
        <f t="shared" si="0"/>
        <v>58.642315632949838</v>
      </c>
      <c r="F14" s="21"/>
      <c r="G14" s="21">
        <f t="shared" si="0"/>
        <v>24271.29521507923</v>
      </c>
      <c r="H14" s="21">
        <f t="shared" si="0"/>
        <v>4478.3368696640046</v>
      </c>
      <c r="I14" s="21"/>
      <c r="J14" s="21"/>
      <c r="K14" s="21"/>
      <c r="L14" s="21"/>
      <c r="M14" s="21">
        <f t="shared" si="0"/>
        <v>897.7887479870792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0.22371792168091426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1.4897346461753223</v>
      </c>
      <c r="C18" s="23"/>
      <c r="D18" s="23">
        <f t="shared" ref="D18:M18" si="1">D14*D16</f>
        <v>2.6500173120931358</v>
      </c>
      <c r="E18" s="23">
        <f t="shared" si="1"/>
        <v>13.311805648679615</v>
      </c>
      <c r="F18" s="23"/>
      <c r="G18" s="23">
        <f t="shared" si="1"/>
        <v>6480.435822426155</v>
      </c>
      <c r="H18" s="23">
        <f t="shared" si="1"/>
        <v>1115.1058805463372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3.7515084065927579E-3</v>
      </c>
      <c r="H50" s="319">
        <f t="shared" si="2"/>
        <v>0</v>
      </c>
      <c r="I50" s="319">
        <f t="shared" si="2"/>
        <v>0</v>
      </c>
      <c r="J50" s="319">
        <f t="shared" si="2"/>
        <v>0</v>
      </c>
      <c r="K50" s="319">
        <f t="shared" si="2"/>
        <v>0</v>
      </c>
      <c r="L50" s="319">
        <f t="shared" si="2"/>
        <v>0</v>
      </c>
      <c r="M50" s="319">
        <f t="shared" si="2"/>
        <v>1.1621650467900116E-4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3.7515084065927579E-3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1.1621650467900116E-4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1042.0856684979883</v>
      </c>
      <c r="H54" s="21">
        <f t="shared" si="3"/>
        <v>0</v>
      </c>
      <c r="I54" s="21">
        <f t="shared" si="3"/>
        <v>0</v>
      </c>
      <c r="J54" s="21">
        <f t="shared" si="3"/>
        <v>0</v>
      </c>
      <c r="K54" s="21">
        <f t="shared" si="3"/>
        <v>0</v>
      </c>
      <c r="L54" s="21">
        <f t="shared" si="3"/>
        <v>0</v>
      </c>
      <c r="M54" s="21">
        <f t="shared" si="3"/>
        <v>32.282362410833656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0.22371792168091426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278.23687348896289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9569.1136922900005</v>
      </c>
      <c r="D10" s="978">
        <f ca="1">tertiair!C16</f>
        <v>0</v>
      </c>
      <c r="E10" s="978">
        <f ca="1">tertiair!D16</f>
        <v>10431.009489927179</v>
      </c>
      <c r="F10" s="978">
        <f>tertiair!E16</f>
        <v>225.6144137297573</v>
      </c>
      <c r="G10" s="978">
        <f ca="1">tertiair!F16</f>
        <v>2137.2852187668632</v>
      </c>
      <c r="H10" s="978">
        <f>tertiair!G16</f>
        <v>0</v>
      </c>
      <c r="I10" s="978">
        <f>tertiair!H16</f>
        <v>0</v>
      </c>
      <c r="J10" s="978">
        <f>tertiair!I16</f>
        <v>0</v>
      </c>
      <c r="K10" s="978">
        <f>tertiair!J16</f>
        <v>0</v>
      </c>
      <c r="L10" s="978">
        <f>tertiair!K16</f>
        <v>0</v>
      </c>
      <c r="M10" s="978">
        <f ca="1">tertiair!L16</f>
        <v>0</v>
      </c>
      <c r="N10" s="978">
        <f>tertiair!M16</f>
        <v>0</v>
      </c>
      <c r="O10" s="978">
        <f ca="1">tertiair!N16</f>
        <v>298.3334443068976</v>
      </c>
      <c r="P10" s="978">
        <f>tertiair!O16</f>
        <v>0</v>
      </c>
      <c r="Q10" s="979">
        <f>tertiair!P16</f>
        <v>0</v>
      </c>
      <c r="R10" s="674">
        <f ca="1">SUM(C10:Q10)</f>
        <v>22661.356259020693</v>
      </c>
      <c r="S10" s="67"/>
    </row>
    <row r="11" spans="1:19" s="447" customFormat="1">
      <c r="A11" s="783" t="s">
        <v>224</v>
      </c>
      <c r="B11" s="788"/>
      <c r="C11" s="978">
        <f>huishoudens!B8</f>
        <v>15125.59153241115</v>
      </c>
      <c r="D11" s="978">
        <f>huishoudens!C8</f>
        <v>0</v>
      </c>
      <c r="E11" s="978">
        <f>huishoudens!D8</f>
        <v>48300.881305996001</v>
      </c>
      <c r="F11" s="978">
        <f>huishoudens!E8</f>
        <v>730.03147333733307</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1633.5094989302688</v>
      </c>
      <c r="P11" s="978">
        <f>huishoudens!O8</f>
        <v>40.646666666666668</v>
      </c>
      <c r="Q11" s="979">
        <f>huishoudens!P8</f>
        <v>76.266666666666666</v>
      </c>
      <c r="R11" s="674">
        <f>SUM(C11:Q11)</f>
        <v>65906.927144008077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1818.90355563</v>
      </c>
      <c r="D13" s="978">
        <f>industrie!C18</f>
        <v>0</v>
      </c>
      <c r="E13" s="978">
        <f>industrie!D18</f>
        <v>940.53087613715991</v>
      </c>
      <c r="F13" s="978">
        <f>industrie!E18</f>
        <v>177.24296013996826</v>
      </c>
      <c r="G13" s="978">
        <f>industrie!F18</f>
        <v>686.78918242748023</v>
      </c>
      <c r="H13" s="978">
        <f>industrie!G18</f>
        <v>0</v>
      </c>
      <c r="I13" s="978">
        <f>industrie!H18</f>
        <v>0</v>
      </c>
      <c r="J13" s="978">
        <f>industrie!I18</f>
        <v>0</v>
      </c>
      <c r="K13" s="978">
        <f>industrie!J18</f>
        <v>7.9817727259831397</v>
      </c>
      <c r="L13" s="978">
        <f>industrie!K18</f>
        <v>0</v>
      </c>
      <c r="M13" s="978">
        <f>industrie!L18</f>
        <v>0</v>
      </c>
      <c r="N13" s="978">
        <f>industrie!M18</f>
        <v>0</v>
      </c>
      <c r="O13" s="978">
        <f>industrie!N18</f>
        <v>235.91181365101369</v>
      </c>
      <c r="P13" s="978">
        <f>industrie!O18</f>
        <v>0</v>
      </c>
      <c r="Q13" s="979">
        <f>industrie!P18</f>
        <v>0</v>
      </c>
      <c r="R13" s="674">
        <f>SUM(C13:Q13)</f>
        <v>3867.3601607116052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26513.608780331153</v>
      </c>
      <c r="D16" s="706">
        <f t="shared" ref="D16:R16" ca="1" si="0">SUM(D9:D15)</f>
        <v>0</v>
      </c>
      <c r="E16" s="706">
        <f t="shared" ca="1" si="0"/>
        <v>59672.421672060344</v>
      </c>
      <c r="F16" s="706">
        <f t="shared" si="0"/>
        <v>1132.8888472070587</v>
      </c>
      <c r="G16" s="706">
        <f t="shared" ca="1" si="0"/>
        <v>2824.0744011943434</v>
      </c>
      <c r="H16" s="706">
        <f t="shared" si="0"/>
        <v>0</v>
      </c>
      <c r="I16" s="706">
        <f t="shared" si="0"/>
        <v>0</v>
      </c>
      <c r="J16" s="706">
        <f t="shared" si="0"/>
        <v>0</v>
      </c>
      <c r="K16" s="706">
        <f t="shared" si="0"/>
        <v>7.9817727259831397</v>
      </c>
      <c r="L16" s="706">
        <f t="shared" si="0"/>
        <v>0</v>
      </c>
      <c r="M16" s="706">
        <f t="shared" ca="1" si="0"/>
        <v>0</v>
      </c>
      <c r="N16" s="706">
        <f t="shared" si="0"/>
        <v>0</v>
      </c>
      <c r="O16" s="706">
        <f t="shared" ca="1" si="0"/>
        <v>2167.7547568881801</v>
      </c>
      <c r="P16" s="706">
        <f t="shared" si="0"/>
        <v>40.646666666666668</v>
      </c>
      <c r="Q16" s="706">
        <f t="shared" si="0"/>
        <v>76.266666666666666</v>
      </c>
      <c r="R16" s="706">
        <f t="shared" ca="1" si="0"/>
        <v>92435.643563740363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1042.0856684979883</v>
      </c>
      <c r="I19" s="978">
        <f>transport!H54</f>
        <v>0</v>
      </c>
      <c r="J19" s="978">
        <f>transport!I54</f>
        <v>0</v>
      </c>
      <c r="K19" s="978">
        <f>transport!J54</f>
        <v>0</v>
      </c>
      <c r="L19" s="978">
        <f>transport!K54</f>
        <v>0</v>
      </c>
      <c r="M19" s="978">
        <f>transport!L54</f>
        <v>0</v>
      </c>
      <c r="N19" s="978">
        <f>transport!M54</f>
        <v>32.282362410833656</v>
      </c>
      <c r="O19" s="978">
        <f>transport!N54</f>
        <v>0</v>
      </c>
      <c r="P19" s="978">
        <f>transport!O54</f>
        <v>0</v>
      </c>
      <c r="Q19" s="979">
        <f>transport!P54</f>
        <v>0</v>
      </c>
      <c r="R19" s="674">
        <f>SUM(C19:Q19)</f>
        <v>1074.368030908822</v>
      </c>
      <c r="S19" s="67"/>
    </row>
    <row r="20" spans="1:19" s="447" customFormat="1">
      <c r="A20" s="783" t="s">
        <v>306</v>
      </c>
      <c r="B20" s="788"/>
      <c r="C20" s="978">
        <f>transport!B14</f>
        <v>6.6589866157442223</v>
      </c>
      <c r="D20" s="978">
        <f>transport!C14</f>
        <v>0</v>
      </c>
      <c r="E20" s="978">
        <f>transport!D14</f>
        <v>13.118897584619484</v>
      </c>
      <c r="F20" s="978">
        <f>transport!E14</f>
        <v>58.642315632949838</v>
      </c>
      <c r="G20" s="978">
        <f>transport!F14</f>
        <v>0</v>
      </c>
      <c r="H20" s="978">
        <f>transport!G14</f>
        <v>24271.29521507923</v>
      </c>
      <c r="I20" s="978">
        <f>transport!H14</f>
        <v>4478.3368696640046</v>
      </c>
      <c r="J20" s="978">
        <f>transport!I14</f>
        <v>0</v>
      </c>
      <c r="K20" s="978">
        <f>transport!J14</f>
        <v>0</v>
      </c>
      <c r="L20" s="978">
        <f>transport!K14</f>
        <v>0</v>
      </c>
      <c r="M20" s="978">
        <f>transport!L14</f>
        <v>0</v>
      </c>
      <c r="N20" s="978">
        <f>transport!M14</f>
        <v>897.7887479870792</v>
      </c>
      <c r="O20" s="978">
        <f>transport!N14</f>
        <v>0</v>
      </c>
      <c r="P20" s="978">
        <f>transport!O14</f>
        <v>0</v>
      </c>
      <c r="Q20" s="979">
        <f>transport!P14</f>
        <v>0</v>
      </c>
      <c r="R20" s="674">
        <f>SUM(C20:Q20)</f>
        <v>29725.841032563625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6.6589866157442223</v>
      </c>
      <c r="D22" s="786">
        <f t="shared" ref="D22:R22" si="1">SUM(D18:D21)</f>
        <v>0</v>
      </c>
      <c r="E22" s="786">
        <f t="shared" si="1"/>
        <v>13.118897584619484</v>
      </c>
      <c r="F22" s="786">
        <f t="shared" si="1"/>
        <v>58.642315632949838</v>
      </c>
      <c r="G22" s="786">
        <f t="shared" si="1"/>
        <v>0</v>
      </c>
      <c r="H22" s="786">
        <f t="shared" si="1"/>
        <v>25313.380883577218</v>
      </c>
      <c r="I22" s="786">
        <f t="shared" si="1"/>
        <v>4478.3368696640046</v>
      </c>
      <c r="J22" s="786">
        <f t="shared" si="1"/>
        <v>0</v>
      </c>
      <c r="K22" s="786">
        <f t="shared" si="1"/>
        <v>0</v>
      </c>
      <c r="L22" s="786">
        <f t="shared" si="1"/>
        <v>0</v>
      </c>
      <c r="M22" s="786">
        <f t="shared" si="1"/>
        <v>0</v>
      </c>
      <c r="N22" s="786">
        <f t="shared" si="1"/>
        <v>930.07111039791289</v>
      </c>
      <c r="O22" s="786">
        <f t="shared" si="1"/>
        <v>0</v>
      </c>
      <c r="P22" s="786">
        <f t="shared" si="1"/>
        <v>0</v>
      </c>
      <c r="Q22" s="786">
        <f t="shared" si="1"/>
        <v>0</v>
      </c>
      <c r="R22" s="786">
        <f t="shared" si="1"/>
        <v>30800.209063472448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150.33921347129998</v>
      </c>
      <c r="D24" s="978">
        <f>+landbouw!C8</f>
        <v>20031.428571428572</v>
      </c>
      <c r="E24" s="978">
        <f>+landbouw!D8</f>
        <v>0</v>
      </c>
      <c r="F24" s="978">
        <f>+landbouw!E8</f>
        <v>3.8766710795820778</v>
      </c>
      <c r="G24" s="978">
        <f>+landbouw!F8</f>
        <v>549.51845595000884</v>
      </c>
      <c r="H24" s="978">
        <f>+landbouw!G8</f>
        <v>0</v>
      </c>
      <c r="I24" s="978">
        <f>+landbouw!H8</f>
        <v>0</v>
      </c>
      <c r="J24" s="978">
        <f>+landbouw!I8</f>
        <v>0</v>
      </c>
      <c r="K24" s="978">
        <f>+landbouw!J8</f>
        <v>21.643316262776437</v>
      </c>
      <c r="L24" s="978">
        <f>+landbouw!K8</f>
        <v>0</v>
      </c>
      <c r="M24" s="978">
        <f>+landbouw!L8</f>
        <v>0</v>
      </c>
      <c r="N24" s="978">
        <f>+landbouw!M8</f>
        <v>0</v>
      </c>
      <c r="O24" s="978">
        <f>+landbouw!N8</f>
        <v>0</v>
      </c>
      <c r="P24" s="978">
        <f>+landbouw!O8</f>
        <v>0</v>
      </c>
      <c r="Q24" s="979">
        <f>+landbouw!P8</f>
        <v>0</v>
      </c>
      <c r="R24" s="674">
        <f>SUM(C24:Q24)</f>
        <v>20756.806228192239</v>
      </c>
      <c r="S24" s="67"/>
    </row>
    <row r="25" spans="1:19" s="447" customFormat="1" ht="15" thickBot="1">
      <c r="A25" s="805" t="s">
        <v>834</v>
      </c>
      <c r="B25" s="981"/>
      <c r="C25" s="982">
        <f>IF(Onbekend_ele_kWh="---",0,Onbekend_ele_kWh)/1000+IF(REST_rest_ele_kWh="---",0,REST_rest_ele_kWh)/1000</f>
        <v>1167.6592945</v>
      </c>
      <c r="D25" s="982"/>
      <c r="E25" s="982">
        <f>IF(onbekend_gas_kWh="---",0,onbekend_gas_kWh)/1000+IF(REST_rest_gas_kWh="---",0,REST_rest_gas_kWh)/1000</f>
        <v>1374.6794050000001</v>
      </c>
      <c r="F25" s="982"/>
      <c r="G25" s="982"/>
      <c r="H25" s="982"/>
      <c r="I25" s="982"/>
      <c r="J25" s="982"/>
      <c r="K25" s="982"/>
      <c r="L25" s="982"/>
      <c r="M25" s="982"/>
      <c r="N25" s="982"/>
      <c r="O25" s="982"/>
      <c r="P25" s="982"/>
      <c r="Q25" s="983"/>
      <c r="R25" s="674">
        <f>SUM(C25:Q25)</f>
        <v>2542.3386995000001</v>
      </c>
      <c r="S25" s="67"/>
    </row>
    <row r="26" spans="1:19" s="447" customFormat="1" ht="15.75" thickBot="1">
      <c r="A26" s="679" t="s">
        <v>835</v>
      </c>
      <c r="B26" s="791"/>
      <c r="C26" s="786">
        <f>SUM(C24:C25)</f>
        <v>1317.9985079712999</v>
      </c>
      <c r="D26" s="786">
        <f t="shared" ref="D26:R26" si="2">SUM(D24:D25)</f>
        <v>20031.428571428572</v>
      </c>
      <c r="E26" s="786">
        <f t="shared" si="2"/>
        <v>1374.6794050000001</v>
      </c>
      <c r="F26" s="786">
        <f t="shared" si="2"/>
        <v>3.8766710795820778</v>
      </c>
      <c r="G26" s="786">
        <f t="shared" si="2"/>
        <v>549.51845595000884</v>
      </c>
      <c r="H26" s="786">
        <f t="shared" si="2"/>
        <v>0</v>
      </c>
      <c r="I26" s="786">
        <f t="shared" si="2"/>
        <v>0</v>
      </c>
      <c r="J26" s="786">
        <f t="shared" si="2"/>
        <v>0</v>
      </c>
      <c r="K26" s="786">
        <f t="shared" si="2"/>
        <v>21.643316262776437</v>
      </c>
      <c r="L26" s="786">
        <f t="shared" si="2"/>
        <v>0</v>
      </c>
      <c r="M26" s="786">
        <f t="shared" si="2"/>
        <v>0</v>
      </c>
      <c r="N26" s="786">
        <f t="shared" si="2"/>
        <v>0</v>
      </c>
      <c r="O26" s="786">
        <f t="shared" si="2"/>
        <v>0</v>
      </c>
      <c r="P26" s="786">
        <f t="shared" si="2"/>
        <v>0</v>
      </c>
      <c r="Q26" s="786">
        <f t="shared" si="2"/>
        <v>0</v>
      </c>
      <c r="R26" s="786">
        <f t="shared" si="2"/>
        <v>23299.144927692239</v>
      </c>
      <c r="S26" s="67"/>
    </row>
    <row r="27" spans="1:19" s="447" customFormat="1" ht="17.25" thickTop="1" thickBot="1">
      <c r="A27" s="680" t="s">
        <v>115</v>
      </c>
      <c r="B27" s="779"/>
      <c r="C27" s="681">
        <f ca="1">C22+C16+C26</f>
        <v>27838.266274918198</v>
      </c>
      <c r="D27" s="681">
        <f t="shared" ref="D27:R27" ca="1" si="3">D22+D16+D26</f>
        <v>20031.428571428572</v>
      </c>
      <c r="E27" s="681">
        <f t="shared" ca="1" si="3"/>
        <v>61060.219974644962</v>
      </c>
      <c r="F27" s="681">
        <f t="shared" si="3"/>
        <v>1195.4078339195908</v>
      </c>
      <c r="G27" s="681">
        <f t="shared" ca="1" si="3"/>
        <v>3373.5928571443524</v>
      </c>
      <c r="H27" s="681">
        <f t="shared" si="3"/>
        <v>25313.380883577218</v>
      </c>
      <c r="I27" s="681">
        <f t="shared" si="3"/>
        <v>4478.3368696640046</v>
      </c>
      <c r="J27" s="681">
        <f t="shared" si="3"/>
        <v>0</v>
      </c>
      <c r="K27" s="681">
        <f t="shared" si="3"/>
        <v>29.625088988759579</v>
      </c>
      <c r="L27" s="681">
        <f t="shared" si="3"/>
        <v>0</v>
      </c>
      <c r="M27" s="681">
        <f t="shared" ca="1" si="3"/>
        <v>0</v>
      </c>
      <c r="N27" s="681">
        <f t="shared" si="3"/>
        <v>930.07111039791289</v>
      </c>
      <c r="O27" s="681">
        <f t="shared" ca="1" si="3"/>
        <v>2167.7547568881801</v>
      </c>
      <c r="P27" s="681">
        <f t="shared" si="3"/>
        <v>40.646666666666668</v>
      </c>
      <c r="Q27" s="681">
        <f t="shared" si="3"/>
        <v>76.266666666666666</v>
      </c>
      <c r="R27" s="681">
        <f t="shared" ca="1" si="3"/>
        <v>146534.99755490504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2140.7822275674985</v>
      </c>
      <c r="D40" s="978">
        <f ca="1">tertiair!C20</f>
        <v>0</v>
      </c>
      <c r="E40" s="978">
        <f ca="1">tertiair!D20</f>
        <v>2107.0639169652904</v>
      </c>
      <c r="F40" s="978">
        <f>tertiair!E20</f>
        <v>51.214471916654908</v>
      </c>
      <c r="G40" s="978">
        <f ca="1">tertiair!F20</f>
        <v>570.65515341075252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4869.715769860195</v>
      </c>
    </row>
    <row r="41" spans="1:18">
      <c r="A41" s="796" t="s">
        <v>224</v>
      </c>
      <c r="B41" s="803"/>
      <c r="C41" s="978">
        <f ca="1">huishoudens!B12</f>
        <v>3383.8659018254575</v>
      </c>
      <c r="D41" s="978">
        <f ca="1">huishoudens!C12</f>
        <v>0</v>
      </c>
      <c r="E41" s="978">
        <f>huishoudens!D12</f>
        <v>9756.7780238111936</v>
      </c>
      <c r="F41" s="978">
        <f>huishoudens!E12</f>
        <v>165.71714444757461</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13306.361070084226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406.92132320356882</v>
      </c>
      <c r="D43" s="978">
        <f ca="1">industrie!C22</f>
        <v>0</v>
      </c>
      <c r="E43" s="978">
        <f>industrie!D22</f>
        <v>189.98723697970632</v>
      </c>
      <c r="F43" s="978">
        <f>industrie!E22</f>
        <v>40.234151951772795</v>
      </c>
      <c r="G43" s="978">
        <f>industrie!F22</f>
        <v>183.37271170813722</v>
      </c>
      <c r="H43" s="978">
        <f>industrie!G22</f>
        <v>0</v>
      </c>
      <c r="I43" s="978">
        <f>industrie!H22</f>
        <v>0</v>
      </c>
      <c r="J43" s="978">
        <f>industrie!I22</f>
        <v>0</v>
      </c>
      <c r="K43" s="978">
        <f>industrie!J22</f>
        <v>2.8255475449980314</v>
      </c>
      <c r="L43" s="978">
        <f>industrie!K22</f>
        <v>0</v>
      </c>
      <c r="M43" s="978">
        <f>industrie!L22</f>
        <v>0</v>
      </c>
      <c r="N43" s="978">
        <f>industrie!M22</f>
        <v>0</v>
      </c>
      <c r="O43" s="978">
        <f>industrie!N22</f>
        <v>0</v>
      </c>
      <c r="P43" s="978">
        <f>industrie!O22</f>
        <v>0</v>
      </c>
      <c r="Q43" s="748">
        <f>industrie!P22</f>
        <v>0</v>
      </c>
      <c r="R43" s="823">
        <f t="shared" ca="1" si="4"/>
        <v>823.34097138818311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5931.5694525965246</v>
      </c>
      <c r="D46" s="706">
        <f t="shared" ref="D46:Q46" ca="1" si="5">SUM(D39:D45)</f>
        <v>0</v>
      </c>
      <c r="E46" s="706">
        <f t="shared" ca="1" si="5"/>
        <v>12053.829177756192</v>
      </c>
      <c r="F46" s="706">
        <f t="shared" si="5"/>
        <v>257.1657683160023</v>
      </c>
      <c r="G46" s="706">
        <f t="shared" ca="1" si="5"/>
        <v>754.02786511888974</v>
      </c>
      <c r="H46" s="706">
        <f t="shared" si="5"/>
        <v>0</v>
      </c>
      <c r="I46" s="706">
        <f t="shared" si="5"/>
        <v>0</v>
      </c>
      <c r="J46" s="706">
        <f t="shared" si="5"/>
        <v>0</v>
      </c>
      <c r="K46" s="706">
        <f t="shared" si="5"/>
        <v>2.8255475449980314</v>
      </c>
      <c r="L46" s="706">
        <f t="shared" si="5"/>
        <v>0</v>
      </c>
      <c r="M46" s="706">
        <f t="shared" ca="1" si="5"/>
        <v>0</v>
      </c>
      <c r="N46" s="706">
        <f t="shared" si="5"/>
        <v>0</v>
      </c>
      <c r="O46" s="706">
        <f t="shared" ca="1" si="5"/>
        <v>0</v>
      </c>
      <c r="P46" s="706">
        <f t="shared" si="5"/>
        <v>0</v>
      </c>
      <c r="Q46" s="706">
        <f t="shared" si="5"/>
        <v>0</v>
      </c>
      <c r="R46" s="706">
        <f ca="1">SUM(R39:R45)</f>
        <v>18999.417811332605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278.23687348896289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278.23687348896289</v>
      </c>
    </row>
    <row r="50" spans="1:18">
      <c r="A50" s="799" t="s">
        <v>306</v>
      </c>
      <c r="B50" s="809"/>
      <c r="C50" s="677">
        <f ca="1">transport!B18</f>
        <v>1.4897346461753223</v>
      </c>
      <c r="D50" s="677">
        <f>transport!C18</f>
        <v>0</v>
      </c>
      <c r="E50" s="677">
        <f>transport!D18</f>
        <v>2.6500173120931358</v>
      </c>
      <c r="F50" s="677">
        <f>transport!E18</f>
        <v>13.311805648679615</v>
      </c>
      <c r="G50" s="677">
        <f>transport!F18</f>
        <v>0</v>
      </c>
      <c r="H50" s="677">
        <f>transport!G18</f>
        <v>6480.435822426155</v>
      </c>
      <c r="I50" s="677">
        <f>transport!H18</f>
        <v>1115.1058805463372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7612.9932605794402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1.4897346461753223</v>
      </c>
      <c r="D52" s="706">
        <f t="shared" ref="D52:Q52" ca="1" si="6">SUM(D48:D51)</f>
        <v>0</v>
      </c>
      <c r="E52" s="706">
        <f t="shared" si="6"/>
        <v>2.6500173120931358</v>
      </c>
      <c r="F52" s="706">
        <f t="shared" si="6"/>
        <v>13.311805648679615</v>
      </c>
      <c r="G52" s="706">
        <f t="shared" si="6"/>
        <v>0</v>
      </c>
      <c r="H52" s="706">
        <f t="shared" si="6"/>
        <v>6758.6726959151183</v>
      </c>
      <c r="I52" s="706">
        <f t="shared" si="6"/>
        <v>1115.1058805463372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7891.2301340684035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33.633576384942536</v>
      </c>
      <c r="D54" s="677">
        <f ca="1">+landbouw!C12</f>
        <v>4760.4100840336141</v>
      </c>
      <c r="E54" s="677">
        <f>+landbouw!D12</f>
        <v>0</v>
      </c>
      <c r="F54" s="677">
        <f>+landbouw!E12</f>
        <v>0.88000433506513165</v>
      </c>
      <c r="G54" s="677">
        <f>+landbouw!F12</f>
        <v>146.72142773865238</v>
      </c>
      <c r="H54" s="677">
        <f>+landbouw!G12</f>
        <v>0</v>
      </c>
      <c r="I54" s="677">
        <f>+landbouw!H12</f>
        <v>0</v>
      </c>
      <c r="J54" s="677">
        <f>+landbouw!I12</f>
        <v>0</v>
      </c>
      <c r="K54" s="677">
        <f>+landbouw!J12</f>
        <v>7.6617339570228582</v>
      </c>
      <c r="L54" s="677">
        <f>+landbouw!K12</f>
        <v>0</v>
      </c>
      <c r="M54" s="677">
        <f>+landbouw!L12</f>
        <v>0</v>
      </c>
      <c r="N54" s="677">
        <f>+landbouw!M12</f>
        <v>0</v>
      </c>
      <c r="O54" s="677">
        <f>+landbouw!N12</f>
        <v>0</v>
      </c>
      <c r="P54" s="677">
        <f>+landbouw!O12</f>
        <v>0</v>
      </c>
      <c r="Q54" s="678">
        <f>+landbouw!P12</f>
        <v>0</v>
      </c>
      <c r="R54" s="705">
        <f ca="1">SUM(C54:Q54)</f>
        <v>4949.3068264492968</v>
      </c>
    </row>
    <row r="55" spans="1:18" ht="15" thickBot="1">
      <c r="A55" s="799" t="s">
        <v>834</v>
      </c>
      <c r="B55" s="809"/>
      <c r="C55" s="677">
        <f ca="1">C25*'EF ele_warmte'!B12</f>
        <v>261.2263105969426</v>
      </c>
      <c r="D55" s="677"/>
      <c r="E55" s="677">
        <f>E25*EF_CO2_aardgas</f>
        <v>277.68523981000004</v>
      </c>
      <c r="F55" s="677"/>
      <c r="G55" s="677"/>
      <c r="H55" s="677"/>
      <c r="I55" s="677"/>
      <c r="J55" s="677"/>
      <c r="K55" s="677"/>
      <c r="L55" s="677"/>
      <c r="M55" s="677"/>
      <c r="N55" s="677"/>
      <c r="O55" s="677"/>
      <c r="P55" s="677"/>
      <c r="Q55" s="678"/>
      <c r="R55" s="705">
        <f ca="1">SUM(C55:Q55)</f>
        <v>538.91155040694264</v>
      </c>
    </row>
    <row r="56" spans="1:18" ht="15.75" thickBot="1">
      <c r="A56" s="797" t="s">
        <v>835</v>
      </c>
      <c r="B56" s="810"/>
      <c r="C56" s="706">
        <f ca="1">SUM(C54:C55)</f>
        <v>294.85988698188515</v>
      </c>
      <c r="D56" s="706">
        <f t="shared" ref="D56:Q56" ca="1" si="7">SUM(D54:D55)</f>
        <v>4760.4100840336141</v>
      </c>
      <c r="E56" s="706">
        <f t="shared" si="7"/>
        <v>277.68523981000004</v>
      </c>
      <c r="F56" s="706">
        <f t="shared" si="7"/>
        <v>0.88000433506513165</v>
      </c>
      <c r="G56" s="706">
        <f t="shared" si="7"/>
        <v>146.72142773865238</v>
      </c>
      <c r="H56" s="706">
        <f t="shared" si="7"/>
        <v>0</v>
      </c>
      <c r="I56" s="706">
        <f t="shared" si="7"/>
        <v>0</v>
      </c>
      <c r="J56" s="706">
        <f t="shared" si="7"/>
        <v>0</v>
      </c>
      <c r="K56" s="706">
        <f t="shared" si="7"/>
        <v>7.6617339570228582</v>
      </c>
      <c r="L56" s="706">
        <f t="shared" si="7"/>
        <v>0</v>
      </c>
      <c r="M56" s="706">
        <f t="shared" si="7"/>
        <v>0</v>
      </c>
      <c r="N56" s="706">
        <f t="shared" si="7"/>
        <v>0</v>
      </c>
      <c r="O56" s="706">
        <f t="shared" si="7"/>
        <v>0</v>
      </c>
      <c r="P56" s="706">
        <f t="shared" si="7"/>
        <v>0</v>
      </c>
      <c r="Q56" s="707">
        <f t="shared" si="7"/>
        <v>0</v>
      </c>
      <c r="R56" s="708">
        <f ca="1">SUM(R54:R55)</f>
        <v>5488.218376856239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6227.9190742245855</v>
      </c>
      <c r="D61" s="714">
        <f t="shared" ref="D61:Q61" ca="1" si="8">D46+D52+D56</f>
        <v>4760.4100840336141</v>
      </c>
      <c r="E61" s="714">
        <f t="shared" ca="1" si="8"/>
        <v>12334.164434878285</v>
      </c>
      <c r="F61" s="714">
        <f t="shared" si="8"/>
        <v>271.35757829974705</v>
      </c>
      <c r="G61" s="714">
        <f t="shared" ca="1" si="8"/>
        <v>900.74929285754206</v>
      </c>
      <c r="H61" s="714">
        <f t="shared" si="8"/>
        <v>6758.6726959151183</v>
      </c>
      <c r="I61" s="714">
        <f t="shared" si="8"/>
        <v>1115.1058805463372</v>
      </c>
      <c r="J61" s="714">
        <f t="shared" si="8"/>
        <v>0</v>
      </c>
      <c r="K61" s="714">
        <f t="shared" si="8"/>
        <v>10.48728150202089</v>
      </c>
      <c r="L61" s="714">
        <f t="shared" si="8"/>
        <v>0</v>
      </c>
      <c r="M61" s="714">
        <f t="shared" ca="1" si="8"/>
        <v>0</v>
      </c>
      <c r="N61" s="714">
        <f t="shared" si="8"/>
        <v>0</v>
      </c>
      <c r="O61" s="714">
        <f t="shared" ca="1" si="8"/>
        <v>0</v>
      </c>
      <c r="P61" s="714">
        <f t="shared" si="8"/>
        <v>0</v>
      </c>
      <c r="Q61" s="714">
        <f t="shared" si="8"/>
        <v>0</v>
      </c>
      <c r="R61" s="714">
        <f ca="1">R46+R52+R56</f>
        <v>32378.866322257247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0.22371792168091423</v>
      </c>
      <c r="D63" s="755">
        <f t="shared" ca="1" si="9"/>
        <v>0.23764705882352943</v>
      </c>
      <c r="E63" s="989">
        <f t="shared" ca="1" si="9"/>
        <v>0.20200000000000004</v>
      </c>
      <c r="F63" s="755">
        <f t="shared" si="9"/>
        <v>0.22699999999999995</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713.85896541115187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14022</v>
      </c>
      <c r="D76" s="999">
        <f>'lokale energieproductie'!C8</f>
        <v>16496.470588235294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3332.2870588235296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713.85896541115187</v>
      </c>
      <c r="C78" s="729">
        <f>SUM(C72:C77)</f>
        <v>14022</v>
      </c>
      <c r="D78" s="730">
        <f t="shared" ref="D78:H78" si="10">SUM(D76:D77)</f>
        <v>16496.470588235294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3332.2870588235296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20031.428571428572</v>
      </c>
      <c r="D87" s="751">
        <f>'lokale energieproductie'!C17</f>
        <v>23566.386554621851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4760.4100840336141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20031.428571428572</v>
      </c>
      <c r="D90" s="729">
        <f t="shared" ref="D90:H90" si="12">SUM(D87:D89)</f>
        <v>23566.386554621851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4760.4100840336141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713.85896541115187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14022</v>
      </c>
      <c r="C8" s="544">
        <f>B48</f>
        <v>16496.470588235294</v>
      </c>
      <c r="D8" s="1009"/>
      <c r="E8" s="1009">
        <f>E48</f>
        <v>0</v>
      </c>
      <c r="F8" s="1010"/>
      <c r="G8" s="545"/>
      <c r="H8" s="1009">
        <f>I48</f>
        <v>0</v>
      </c>
      <c r="I8" s="1009">
        <f>G48+F48</f>
        <v>0</v>
      </c>
      <c r="J8" s="1009">
        <f>H48+D48+C48</f>
        <v>0</v>
      </c>
      <c r="K8" s="1009"/>
      <c r="L8" s="1009"/>
      <c r="M8" s="1009"/>
      <c r="N8" s="546"/>
      <c r="O8" s="547">
        <f>C8*$C$12+D8*$D$12+E8*$E$12+F8*$F$12+G8*$G$12+H8*$H$12+I8*$I$12+J8*$J$12</f>
        <v>3332.2870588235296</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14735.858965411151</v>
      </c>
      <c r="C10" s="557">
        <f t="shared" ref="C10:L10" si="0">SUM(C8:C9)</f>
        <v>16496.470588235294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3332.2870588235296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20031.428571428572</v>
      </c>
      <c r="C17" s="569">
        <f>B49</f>
        <v>23566.386554621851</v>
      </c>
      <c r="D17" s="570"/>
      <c r="E17" s="570">
        <f>E49</f>
        <v>0</v>
      </c>
      <c r="F17" s="1015"/>
      <c r="G17" s="571"/>
      <c r="H17" s="569">
        <f>I49</f>
        <v>0</v>
      </c>
      <c r="I17" s="570">
        <f>G49+F49</f>
        <v>0</v>
      </c>
      <c r="J17" s="570">
        <f>H49+D49+C49</f>
        <v>0</v>
      </c>
      <c r="K17" s="570"/>
      <c r="L17" s="570"/>
      <c r="M17" s="570"/>
      <c r="N17" s="1016"/>
      <c r="O17" s="572">
        <f>C17*$C$22+E17*$E$22+H17*$H$22+I17*$I$22+J17*$J$22+D17*$D$22+F17*$F$22+G17*$G$22+K17*$K$22+L17*$L$22</f>
        <v>4760.4100840336141</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20031.428571428572</v>
      </c>
      <c r="C20" s="556">
        <f>SUM(C17:C19)</f>
        <v>23566.386554621851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4760.4100840336141</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11007</v>
      </c>
      <c r="C28" s="770">
        <v>2150</v>
      </c>
      <c r="D28" s="627" t="s">
        <v>896</v>
      </c>
      <c r="E28" s="626" t="s">
        <v>897</v>
      </c>
      <c r="F28" s="626" t="s">
        <v>898</v>
      </c>
      <c r="G28" s="626" t="s">
        <v>899</v>
      </c>
      <c r="H28" s="626" t="s">
        <v>900</v>
      </c>
      <c r="I28" s="626" t="s">
        <v>897</v>
      </c>
      <c r="J28" s="769">
        <v>40101</v>
      </c>
      <c r="K28" s="769">
        <v>40114</v>
      </c>
      <c r="L28" s="626" t="s">
        <v>901</v>
      </c>
      <c r="M28" s="626">
        <v>3116</v>
      </c>
      <c r="N28" s="626">
        <v>14022</v>
      </c>
      <c r="O28" s="626">
        <v>20031.428571428572</v>
      </c>
      <c r="P28" s="626">
        <v>40062.857142857145</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3116</v>
      </c>
      <c r="N29" s="584">
        <f>SUM(N28:N28)</f>
        <v>14022</v>
      </c>
      <c r="O29" s="584">
        <f>SUM(O28:O28)</f>
        <v>20031.428571428572</v>
      </c>
      <c r="P29" s="584">
        <f>SUM(P28:P28)</f>
        <v>40062.857142857145</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3116</v>
      </c>
      <c r="N32" s="589">
        <f>SUMIF($Z$28:$Z$28,"landbouw",N28:N28)</f>
        <v>14022</v>
      </c>
      <c r="O32" s="589">
        <f>SUMIF($Z$28:$Z$28,"landbouw",O28:O28)</f>
        <v>20031.428571428572</v>
      </c>
      <c r="P32" s="589">
        <f>SUMIF($Z$28:$Z$28,"landbouw",P28:P28)</f>
        <v>40062.857142857145</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16496.470588235294</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23566.386554621851</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15125.59153241115</v>
      </c>
      <c r="C4" s="451">
        <f>huishoudens!C8</f>
        <v>0</v>
      </c>
      <c r="D4" s="451">
        <f>huishoudens!D8</f>
        <v>48300.881305996001</v>
      </c>
      <c r="E4" s="451">
        <f>huishoudens!E8</f>
        <v>730.03147333733307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1633.5094989302688</v>
      </c>
      <c r="O4" s="451">
        <f>huishoudens!O8</f>
        <v>40.646666666666668</v>
      </c>
      <c r="P4" s="452">
        <f>huishoudens!P8</f>
        <v>76.266666666666666</v>
      </c>
      <c r="Q4" s="453">
        <f>SUM(B4:P4)</f>
        <v>65906.927144008077</v>
      </c>
    </row>
    <row r="5" spans="1:17">
      <c r="A5" s="450" t="s">
        <v>155</v>
      </c>
      <c r="B5" s="451">
        <f ca="1">tertiair!B16</f>
        <v>9102.2636922900001</v>
      </c>
      <c r="C5" s="451">
        <f ca="1">tertiair!C16</f>
        <v>0</v>
      </c>
      <c r="D5" s="451">
        <f ca="1">tertiair!D16</f>
        <v>10431.009489927179</v>
      </c>
      <c r="E5" s="451">
        <f>tertiair!E16</f>
        <v>225.6144137297573</v>
      </c>
      <c r="F5" s="451">
        <f ca="1">tertiair!F16</f>
        <v>2137.2852187668632</v>
      </c>
      <c r="G5" s="451">
        <f>tertiair!G16</f>
        <v>0</v>
      </c>
      <c r="H5" s="451">
        <f>tertiair!H16</f>
        <v>0</v>
      </c>
      <c r="I5" s="451">
        <f>tertiair!I16</f>
        <v>0</v>
      </c>
      <c r="J5" s="451">
        <f>tertiair!J16</f>
        <v>0</v>
      </c>
      <c r="K5" s="451">
        <f>tertiair!K16</f>
        <v>0</v>
      </c>
      <c r="L5" s="451">
        <f ca="1">tertiair!L16</f>
        <v>0</v>
      </c>
      <c r="M5" s="451">
        <f>tertiair!M16</f>
        <v>0</v>
      </c>
      <c r="N5" s="451">
        <f ca="1">tertiair!N16</f>
        <v>298.3334443068976</v>
      </c>
      <c r="O5" s="451">
        <f>tertiair!O16</f>
        <v>0</v>
      </c>
      <c r="P5" s="452">
        <f>tertiair!P16</f>
        <v>0</v>
      </c>
      <c r="Q5" s="450">
        <f t="shared" ref="Q5:Q14" ca="1" si="0">SUM(B5:P5)</f>
        <v>22194.506259020694</v>
      </c>
    </row>
    <row r="6" spans="1:17">
      <c r="A6" s="450" t="s">
        <v>193</v>
      </c>
      <c r="B6" s="451">
        <f>'openbare verlichting'!B8</f>
        <v>466.85</v>
      </c>
      <c r="C6" s="451"/>
      <c r="D6" s="451"/>
      <c r="E6" s="451"/>
      <c r="F6" s="451"/>
      <c r="G6" s="451"/>
      <c r="H6" s="451"/>
      <c r="I6" s="451"/>
      <c r="J6" s="451"/>
      <c r="K6" s="451"/>
      <c r="L6" s="451"/>
      <c r="M6" s="451"/>
      <c r="N6" s="451"/>
      <c r="O6" s="451"/>
      <c r="P6" s="452"/>
      <c r="Q6" s="450">
        <f t="shared" si="0"/>
        <v>466.85</v>
      </c>
    </row>
    <row r="7" spans="1:17">
      <c r="A7" s="450" t="s">
        <v>111</v>
      </c>
      <c r="B7" s="451">
        <f>landbouw!B8</f>
        <v>150.33921347129998</v>
      </c>
      <c r="C7" s="451">
        <f>landbouw!C8</f>
        <v>20031.428571428572</v>
      </c>
      <c r="D7" s="451">
        <f>landbouw!D8</f>
        <v>0</v>
      </c>
      <c r="E7" s="451">
        <f>landbouw!E8</f>
        <v>3.8766710795820778</v>
      </c>
      <c r="F7" s="451">
        <f>landbouw!F8</f>
        <v>549.51845595000884</v>
      </c>
      <c r="G7" s="451">
        <f>landbouw!G8</f>
        <v>0</v>
      </c>
      <c r="H7" s="451">
        <f>landbouw!H8</f>
        <v>0</v>
      </c>
      <c r="I7" s="451">
        <f>landbouw!I8</f>
        <v>0</v>
      </c>
      <c r="J7" s="451">
        <f>landbouw!J8</f>
        <v>21.643316262776437</v>
      </c>
      <c r="K7" s="451">
        <f>landbouw!K8</f>
        <v>0</v>
      </c>
      <c r="L7" s="451">
        <f>landbouw!L8</f>
        <v>0</v>
      </c>
      <c r="M7" s="451">
        <f>landbouw!M8</f>
        <v>0</v>
      </c>
      <c r="N7" s="451">
        <f>landbouw!N8</f>
        <v>0</v>
      </c>
      <c r="O7" s="451">
        <f>landbouw!O8</f>
        <v>0</v>
      </c>
      <c r="P7" s="452">
        <f>landbouw!P8</f>
        <v>0</v>
      </c>
      <c r="Q7" s="450">
        <f t="shared" si="0"/>
        <v>20756.806228192239</v>
      </c>
    </row>
    <row r="8" spans="1:17">
      <c r="A8" s="450" t="s">
        <v>637</v>
      </c>
      <c r="B8" s="451">
        <f>industrie!B18</f>
        <v>1818.90355563</v>
      </c>
      <c r="C8" s="451">
        <f>industrie!C18</f>
        <v>0</v>
      </c>
      <c r="D8" s="451">
        <f>industrie!D18</f>
        <v>940.53087613715991</v>
      </c>
      <c r="E8" s="451">
        <f>industrie!E18</f>
        <v>177.24296013996826</v>
      </c>
      <c r="F8" s="451">
        <f>industrie!F18</f>
        <v>686.78918242748023</v>
      </c>
      <c r="G8" s="451">
        <f>industrie!G18</f>
        <v>0</v>
      </c>
      <c r="H8" s="451">
        <f>industrie!H18</f>
        <v>0</v>
      </c>
      <c r="I8" s="451">
        <f>industrie!I18</f>
        <v>0</v>
      </c>
      <c r="J8" s="451">
        <f>industrie!J18</f>
        <v>7.9817727259831397</v>
      </c>
      <c r="K8" s="451">
        <f>industrie!K18</f>
        <v>0</v>
      </c>
      <c r="L8" s="451">
        <f>industrie!L18</f>
        <v>0</v>
      </c>
      <c r="M8" s="451">
        <f>industrie!M18</f>
        <v>0</v>
      </c>
      <c r="N8" s="451">
        <f>industrie!N18</f>
        <v>235.91181365101369</v>
      </c>
      <c r="O8" s="451">
        <f>industrie!O18</f>
        <v>0</v>
      </c>
      <c r="P8" s="452">
        <f>industrie!P18</f>
        <v>0</v>
      </c>
      <c r="Q8" s="450">
        <f t="shared" si="0"/>
        <v>3867.3601607116052</v>
      </c>
    </row>
    <row r="9" spans="1:17" s="456" customFormat="1">
      <c r="A9" s="454" t="s">
        <v>563</v>
      </c>
      <c r="B9" s="455">
        <f>transport!B14</f>
        <v>6.6589866157442223</v>
      </c>
      <c r="C9" s="455">
        <f>transport!C14</f>
        <v>0</v>
      </c>
      <c r="D9" s="455">
        <f>transport!D14</f>
        <v>13.118897584619484</v>
      </c>
      <c r="E9" s="455">
        <f>transport!E14</f>
        <v>58.642315632949838</v>
      </c>
      <c r="F9" s="455">
        <f>transport!F14</f>
        <v>0</v>
      </c>
      <c r="G9" s="455">
        <f>transport!G14</f>
        <v>24271.29521507923</v>
      </c>
      <c r="H9" s="455">
        <f>transport!H14</f>
        <v>4478.3368696640046</v>
      </c>
      <c r="I9" s="455">
        <f>transport!I14</f>
        <v>0</v>
      </c>
      <c r="J9" s="455">
        <f>transport!J14</f>
        <v>0</v>
      </c>
      <c r="K9" s="455">
        <f>transport!K14</f>
        <v>0</v>
      </c>
      <c r="L9" s="455">
        <f>transport!L14</f>
        <v>0</v>
      </c>
      <c r="M9" s="455">
        <f>transport!M14</f>
        <v>897.7887479870792</v>
      </c>
      <c r="N9" s="455">
        <f>transport!N14</f>
        <v>0</v>
      </c>
      <c r="O9" s="455">
        <f>transport!O14</f>
        <v>0</v>
      </c>
      <c r="P9" s="455">
        <f>transport!P14</f>
        <v>0</v>
      </c>
      <c r="Q9" s="454">
        <f>SUM(B9:P9)</f>
        <v>29725.841032563625</v>
      </c>
    </row>
    <row r="10" spans="1:17">
      <c r="A10" s="450" t="s">
        <v>553</v>
      </c>
      <c r="B10" s="451">
        <f>transport!B54</f>
        <v>0</v>
      </c>
      <c r="C10" s="451">
        <f>transport!C54</f>
        <v>0</v>
      </c>
      <c r="D10" s="451">
        <f>transport!D54</f>
        <v>0</v>
      </c>
      <c r="E10" s="451">
        <f>transport!E54</f>
        <v>0</v>
      </c>
      <c r="F10" s="451">
        <f>transport!F54</f>
        <v>0</v>
      </c>
      <c r="G10" s="451">
        <f>transport!G54</f>
        <v>1042.0856684979883</v>
      </c>
      <c r="H10" s="451">
        <f>transport!H54</f>
        <v>0</v>
      </c>
      <c r="I10" s="451">
        <f>transport!I54</f>
        <v>0</v>
      </c>
      <c r="J10" s="451">
        <f>transport!J54</f>
        <v>0</v>
      </c>
      <c r="K10" s="451">
        <f>transport!K54</f>
        <v>0</v>
      </c>
      <c r="L10" s="451">
        <f>transport!L54</f>
        <v>0</v>
      </c>
      <c r="M10" s="451">
        <f>transport!M54</f>
        <v>32.282362410833656</v>
      </c>
      <c r="N10" s="451">
        <f>transport!N54</f>
        <v>0</v>
      </c>
      <c r="O10" s="451">
        <f>transport!O54</f>
        <v>0</v>
      </c>
      <c r="P10" s="452">
        <f>transport!P54</f>
        <v>0</v>
      </c>
      <c r="Q10" s="450">
        <f t="shared" si="0"/>
        <v>1074.368030908822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1167.6592945</v>
      </c>
      <c r="C14" s="458"/>
      <c r="D14" s="458">
        <f>'SEAP template'!E25</f>
        <v>1374.6794050000001</v>
      </c>
      <c r="E14" s="458"/>
      <c r="F14" s="458"/>
      <c r="G14" s="458"/>
      <c r="H14" s="458"/>
      <c r="I14" s="458"/>
      <c r="J14" s="458"/>
      <c r="K14" s="458"/>
      <c r="L14" s="458"/>
      <c r="M14" s="458"/>
      <c r="N14" s="458"/>
      <c r="O14" s="458"/>
      <c r="P14" s="459"/>
      <c r="Q14" s="450">
        <f t="shared" si="0"/>
        <v>2542.3386995000001</v>
      </c>
    </row>
    <row r="15" spans="1:17" s="460" customFormat="1">
      <c r="A15" s="1004" t="s">
        <v>557</v>
      </c>
      <c r="B15" s="944">
        <f ca="1">SUM(B4:B14)</f>
        <v>27838.266274918195</v>
      </c>
      <c r="C15" s="944">
        <f t="shared" ref="C15:Q15" ca="1" si="1">SUM(C4:C14)</f>
        <v>20031.428571428572</v>
      </c>
      <c r="D15" s="944">
        <f t="shared" ca="1" si="1"/>
        <v>61060.219974644962</v>
      </c>
      <c r="E15" s="944">
        <f t="shared" si="1"/>
        <v>1195.4078339195905</v>
      </c>
      <c r="F15" s="944">
        <f t="shared" ca="1" si="1"/>
        <v>3373.5928571443524</v>
      </c>
      <c r="G15" s="944">
        <f t="shared" si="1"/>
        <v>25313.380883577218</v>
      </c>
      <c r="H15" s="944">
        <f t="shared" si="1"/>
        <v>4478.3368696640046</v>
      </c>
      <c r="I15" s="944">
        <f t="shared" si="1"/>
        <v>0</v>
      </c>
      <c r="J15" s="944">
        <f t="shared" si="1"/>
        <v>29.625088988759579</v>
      </c>
      <c r="K15" s="944">
        <f t="shared" si="1"/>
        <v>0</v>
      </c>
      <c r="L15" s="944">
        <f t="shared" ca="1" si="1"/>
        <v>0</v>
      </c>
      <c r="M15" s="944">
        <f t="shared" si="1"/>
        <v>930.07111039791289</v>
      </c>
      <c r="N15" s="944">
        <f t="shared" ca="1" si="1"/>
        <v>2167.7547568881801</v>
      </c>
      <c r="O15" s="944">
        <f t="shared" si="1"/>
        <v>40.646666666666668</v>
      </c>
      <c r="P15" s="944">
        <f t="shared" si="1"/>
        <v>76.266666666666666</v>
      </c>
      <c r="Q15" s="944">
        <f t="shared" ca="1" si="1"/>
        <v>146534.99755490504</v>
      </c>
    </row>
    <row r="17" spans="1:17">
      <c r="A17" s="461" t="s">
        <v>558</v>
      </c>
      <c r="B17" s="760">
        <f ca="1">huishoudens!B10</f>
        <v>0.22371792168091426</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3383.8659018254575</v>
      </c>
      <c r="C22" s="451">
        <f t="shared" ref="C22:C32" ca="1" si="3">C4*$C$17</f>
        <v>0</v>
      </c>
      <c r="D22" s="451">
        <f t="shared" ref="D22:D32" si="4">D4*$D$17</f>
        <v>9756.7780238111936</v>
      </c>
      <c r="E22" s="451">
        <f t="shared" ref="E22:E32" si="5">E4*$E$17</f>
        <v>165.71714444757461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13306.361070084226</v>
      </c>
    </row>
    <row r="23" spans="1:17">
      <c r="A23" s="450" t="s">
        <v>155</v>
      </c>
      <c r="B23" s="451">
        <f t="shared" ca="1" si="2"/>
        <v>2036.3395158307637</v>
      </c>
      <c r="C23" s="451">
        <f t="shared" ca="1" si="3"/>
        <v>0</v>
      </c>
      <c r="D23" s="451">
        <f t="shared" ca="1" si="4"/>
        <v>2107.0639169652904</v>
      </c>
      <c r="E23" s="451">
        <f t="shared" si="5"/>
        <v>51.214471916654908</v>
      </c>
      <c r="F23" s="451">
        <f t="shared" ca="1" si="6"/>
        <v>570.65515341075252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4765.2730581234609</v>
      </c>
    </row>
    <row r="24" spans="1:17">
      <c r="A24" s="450" t="s">
        <v>193</v>
      </c>
      <c r="B24" s="451">
        <f t="shared" ca="1" si="2"/>
        <v>104.44271173673482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104.44271173673482</v>
      </c>
    </row>
    <row r="25" spans="1:17">
      <c r="A25" s="450" t="s">
        <v>111</v>
      </c>
      <c r="B25" s="451">
        <f t="shared" ca="1" si="2"/>
        <v>33.633576384942536</v>
      </c>
      <c r="C25" s="451">
        <f t="shared" ca="1" si="3"/>
        <v>4760.4100840336141</v>
      </c>
      <c r="D25" s="451">
        <f t="shared" si="4"/>
        <v>0</v>
      </c>
      <c r="E25" s="451">
        <f t="shared" si="5"/>
        <v>0.88000433506513165</v>
      </c>
      <c r="F25" s="451">
        <f t="shared" si="6"/>
        <v>146.72142773865238</v>
      </c>
      <c r="G25" s="451">
        <f t="shared" si="7"/>
        <v>0</v>
      </c>
      <c r="H25" s="451">
        <f t="shared" si="8"/>
        <v>0</v>
      </c>
      <c r="I25" s="451">
        <f t="shared" si="9"/>
        <v>0</v>
      </c>
      <c r="J25" s="451">
        <f t="shared" si="10"/>
        <v>7.6617339570228582</v>
      </c>
      <c r="K25" s="451">
        <f t="shared" si="11"/>
        <v>0</v>
      </c>
      <c r="L25" s="451">
        <f t="shared" si="12"/>
        <v>0</v>
      </c>
      <c r="M25" s="451">
        <f t="shared" si="13"/>
        <v>0</v>
      </c>
      <c r="N25" s="451">
        <f t="shared" si="14"/>
        <v>0</v>
      </c>
      <c r="O25" s="451">
        <f t="shared" si="15"/>
        <v>0</v>
      </c>
      <c r="P25" s="452">
        <f t="shared" si="16"/>
        <v>0</v>
      </c>
      <c r="Q25" s="450">
        <f t="shared" ca="1" si="17"/>
        <v>4949.3068264492968</v>
      </c>
    </row>
    <row r="26" spans="1:17">
      <c r="A26" s="450" t="s">
        <v>637</v>
      </c>
      <c r="B26" s="451">
        <f t="shared" ca="1" si="2"/>
        <v>406.92132320356882</v>
      </c>
      <c r="C26" s="451">
        <f t="shared" ca="1" si="3"/>
        <v>0</v>
      </c>
      <c r="D26" s="451">
        <f t="shared" si="4"/>
        <v>189.98723697970632</v>
      </c>
      <c r="E26" s="451">
        <f t="shared" si="5"/>
        <v>40.234151951772795</v>
      </c>
      <c r="F26" s="451">
        <f t="shared" si="6"/>
        <v>183.37271170813722</v>
      </c>
      <c r="G26" s="451">
        <f t="shared" si="7"/>
        <v>0</v>
      </c>
      <c r="H26" s="451">
        <f t="shared" si="8"/>
        <v>0</v>
      </c>
      <c r="I26" s="451">
        <f t="shared" si="9"/>
        <v>0</v>
      </c>
      <c r="J26" s="451">
        <f t="shared" si="10"/>
        <v>2.8255475449980314</v>
      </c>
      <c r="K26" s="451">
        <f t="shared" si="11"/>
        <v>0</v>
      </c>
      <c r="L26" s="451">
        <f t="shared" si="12"/>
        <v>0</v>
      </c>
      <c r="M26" s="451">
        <f t="shared" si="13"/>
        <v>0</v>
      </c>
      <c r="N26" s="451">
        <f t="shared" si="14"/>
        <v>0</v>
      </c>
      <c r="O26" s="451">
        <f t="shared" si="15"/>
        <v>0</v>
      </c>
      <c r="P26" s="452">
        <f t="shared" si="16"/>
        <v>0</v>
      </c>
      <c r="Q26" s="450">
        <f t="shared" ca="1" si="17"/>
        <v>823.34097138818311</v>
      </c>
    </row>
    <row r="27" spans="1:17" s="456" customFormat="1">
      <c r="A27" s="454" t="s">
        <v>563</v>
      </c>
      <c r="B27" s="754">
        <f t="shared" ca="1" si="2"/>
        <v>1.4897346461753223</v>
      </c>
      <c r="C27" s="455">
        <f t="shared" ca="1" si="3"/>
        <v>0</v>
      </c>
      <c r="D27" s="455">
        <f t="shared" si="4"/>
        <v>2.6500173120931358</v>
      </c>
      <c r="E27" s="455">
        <f t="shared" si="5"/>
        <v>13.311805648679615</v>
      </c>
      <c r="F27" s="455">
        <f t="shared" si="6"/>
        <v>0</v>
      </c>
      <c r="G27" s="455">
        <f t="shared" si="7"/>
        <v>6480.435822426155</v>
      </c>
      <c r="H27" s="455">
        <f t="shared" si="8"/>
        <v>1115.1058805463372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7612.9932605794402</v>
      </c>
    </row>
    <row r="28" spans="1:17">
      <c r="A28" s="450" t="s">
        <v>553</v>
      </c>
      <c r="B28" s="451">
        <f t="shared" ca="1" si="2"/>
        <v>0</v>
      </c>
      <c r="C28" s="451">
        <f t="shared" ca="1" si="3"/>
        <v>0</v>
      </c>
      <c r="D28" s="451">
        <f t="shared" si="4"/>
        <v>0</v>
      </c>
      <c r="E28" s="451">
        <f t="shared" si="5"/>
        <v>0</v>
      </c>
      <c r="F28" s="451">
        <f t="shared" si="6"/>
        <v>0</v>
      </c>
      <c r="G28" s="451">
        <f t="shared" si="7"/>
        <v>278.23687348896289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278.23687348896289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261.2263105969426</v>
      </c>
      <c r="C32" s="451">
        <f t="shared" ca="1" si="3"/>
        <v>0</v>
      </c>
      <c r="D32" s="451">
        <f t="shared" si="4"/>
        <v>277.68523981000004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538.91155040694264</v>
      </c>
    </row>
    <row r="33" spans="1:17" s="460" customFormat="1">
      <c r="A33" s="1004" t="s">
        <v>557</v>
      </c>
      <c r="B33" s="944">
        <f ca="1">SUM(B22:B32)</f>
        <v>6227.9190742245864</v>
      </c>
      <c r="C33" s="944">
        <f t="shared" ref="C33:Q33" ca="1" si="18">SUM(C22:C32)</f>
        <v>4760.4100840336141</v>
      </c>
      <c r="D33" s="944">
        <f t="shared" ca="1" si="18"/>
        <v>12334.164434878285</v>
      </c>
      <c r="E33" s="944">
        <f t="shared" si="18"/>
        <v>271.3575782997471</v>
      </c>
      <c r="F33" s="944">
        <f t="shared" ca="1" si="18"/>
        <v>900.74929285754217</v>
      </c>
      <c r="G33" s="944">
        <f t="shared" si="18"/>
        <v>6758.6726959151183</v>
      </c>
      <c r="H33" s="944">
        <f t="shared" si="18"/>
        <v>1115.1058805463372</v>
      </c>
      <c r="I33" s="944">
        <f t="shared" si="18"/>
        <v>0</v>
      </c>
      <c r="J33" s="944">
        <f t="shared" si="18"/>
        <v>10.48728150202089</v>
      </c>
      <c r="K33" s="944">
        <f t="shared" si="18"/>
        <v>0</v>
      </c>
      <c r="L33" s="944">
        <f t="shared" ca="1" si="18"/>
        <v>0</v>
      </c>
      <c r="M33" s="944">
        <f t="shared" si="18"/>
        <v>0</v>
      </c>
      <c r="N33" s="944">
        <f t="shared" ca="1" si="18"/>
        <v>0</v>
      </c>
      <c r="O33" s="944">
        <f t="shared" si="18"/>
        <v>0</v>
      </c>
      <c r="P33" s="944">
        <f t="shared" si="18"/>
        <v>0</v>
      </c>
      <c r="Q33" s="944">
        <f t="shared" ca="1" si="18"/>
        <v>32378.866322257247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713.85896541115187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14022</v>
      </c>
      <c r="D8" s="1021">
        <f>'SEAP template'!D76</f>
        <v>16496.470588235294</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3332.2870588235296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713.85896541115187</v>
      </c>
      <c r="C10" s="1025">
        <f>SUM(C4:C9)</f>
        <v>14022</v>
      </c>
      <c r="D10" s="1025">
        <f t="shared" ref="D10:H10" si="0">SUM(D8:D9)</f>
        <v>16496.470588235294</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3332.2870588235296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0.22371792168091426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20031.428571428572</v>
      </c>
      <c r="D17" s="1022">
        <f>'SEAP template'!D87</f>
        <v>23566.386554621851</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4760.4100840336141</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20031.428571428572</v>
      </c>
      <c r="D20" s="1025">
        <f t="shared" ref="D20:H20" si="2">SUM(D17:D19)</f>
        <v>23566.386554621851</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4760.4100840336141</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0.22371792168091426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2020-06-20T15:49:53Z</dcterms:modified>
</cp:coreProperties>
</file>