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O4" i="48"/>
  <c r="O22" i="48" s="1"/>
  <c r="P11" i="14"/>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E7" i="48" l="1"/>
  <c r="E25" i="48" s="1"/>
  <c r="F24" i="14"/>
  <c r="F26" i="14" s="1"/>
  <c r="Q46" i="14"/>
  <c r="Q61" i="14" s="1"/>
  <c r="Q63" i="14" s="1"/>
  <c r="O22" i="16"/>
  <c r="P43" i="14" s="1"/>
  <c r="O8" i="48"/>
  <c r="O26" i="48" s="1"/>
  <c r="P1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O33" i="48"/>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E8" i="48"/>
  <c r="E26" i="48" s="1"/>
  <c r="E33" i="48" s="1"/>
  <c r="F13" i="14"/>
  <c r="F16" i="14" s="1"/>
  <c r="F27" i="14" s="1"/>
  <c r="F63" i="14" s="1"/>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<sst xmlns="http://schemas.openxmlformats.org/spreadsheetml/2006/main" count="2443" uniqueCount="919">
  <si>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</si>
  <si>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</si>
  <si>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</si>
  <si>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</si>
  <si>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</si>
  <si>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</si>
  <si>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</si>
  <si>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</si>
  <si>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</si>
  <si>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</si>
  <si>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</si>
  <si>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</si>
  <si>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</si>
  <si>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</si>
  <si>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</si>
  <si>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</si>
  <si>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</si>
  <si>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</si>
  <si>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</si>
  <si>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</si>
  <si>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</si>
  <si>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</si>
  <si>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</si>
  <si>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</si>
  <si>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</si>
  <si>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</si>
  <si>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</si>
  <si>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</si>
  <si>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</si>
  <si>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</si>
  <si>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</si>
  <si>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</si>
  <si>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</si>
  <si>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</si>
  <si>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</si>
  <si>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</si>
  <si>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</si>
  <si>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</si>
  <si>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</si>
  <si>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</si>
  <si>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</si>
  <si>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</si>
  <si>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</si>
  <si>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</si>
  <si>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</si>
  <si>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</si>
  <si>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</si>
  <si>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</si>
  <si>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</si>
  <si>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</si>
  <si>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</si>
  <si>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</si>
  <si>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</si>
  <si>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</si>
  <si>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</si>
  <si>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</si>
  <si>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</si>
  <si>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</si>
  <si>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</si>
  <si>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</si>
  <si>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</si>
  <si>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</si>
  <si>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</si>
  <si>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</si>
  <si>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</si>
  <si>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</si>
  <si>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</si>
  <si>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</si>
  <si>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</si>
  <si>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</si>
  <si>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</si>
  <si>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</si>
  <si>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</si>
  <si>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</si>
  <si>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</si>
  <si>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</si>
  <si>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</si>
  <si>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</si>
  <si>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</si>
  <si>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</si>
  <si>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</si>
  <si>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</si>
  <si>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</si>
  <si>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</si>
  <si>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</si>
  <si>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</si>
  <si>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</si>
  <si>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</si>
  <si>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</si>
  <si>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</si>
  <si>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</si>
  <si>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</si>
  <si>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</si>
  <si>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</si>
  <si>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</si>
  <si>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</si>
  <si>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</si>
  <si>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</si>
  <si>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</si>
  <si>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</si>
  <si>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</si>
  <si>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</si>
  <si>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</si>
  <si>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</si>
  <si>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</si>
  <si>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</si>
  <si>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</si>
  <si>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</si>
  <si>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</si>
  <si>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</si>
  <si>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</si>
  <si>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</si>
  <si>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</si>
  <si>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</si>
  <si>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</si>
  <si>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</si>
  <si>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</si>
  <si>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</si>
  <si>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</si>
  <si>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</si>
  <si>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</si>
  <si>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</si>
  <si>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</si>
  <si>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</si>
  <si>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</si>
  <si>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</si>
  <si>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</si>
  <si>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</si>
  <si>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</si>
  <si>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</si>
  <si>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</si>
  <si>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</si>
  <si>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</si>
  <si>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</si>
  <si>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</si>
  <si>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</si>
  <si>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</si>
  <si>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</si>
  <si>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</si>
  <si>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</si>
  <si>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</si>
  <si>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</si>
  <si>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</si>
  <si>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</si>
  <si>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</si>
  <si>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</si>
  <si>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</si>
  <si>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</si>
  <si>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</si>
  <si>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</si>
  <si>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</si>
  <si>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</si>
  <si>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</si>
  <si>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</si>
  <si>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</si>
  <si>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</si>
  <si>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</si>
  <si>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</si>
  <si>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</si>
  <si>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</si>
  <si>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</si>
  <si>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</si>
  <si>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</si>
  <si>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</si>
  <si>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</si>
  <si>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</si>
  <si>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</si>
  <si>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</si>
  <si>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</si>
  <si>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</si>
  <si>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</si>
  <si>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</si>
  <si>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</si>
  <si>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</si>
  <si>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</si>
  <si>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</si>
  <si>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</si>
  <si>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</si>
  <si>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</si>
  <si>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</si>
  <si>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</si>
  <si>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</si>
  <si>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</si>
  <si>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</si>
  <si>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</si>
  <si>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</si>
  <si>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</si>
  <si>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</si>
  <si>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</si>
  <si>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</si>
  <si>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</si>
  <si>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</si>
  <si>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</si>
  <si>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</si>
  <si>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</si>
  <si>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</si>
  <si>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</si>
  <si>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</si>
  <si>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</si>
  <si>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</si>
  <si>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</si>
  <si>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</si>
  <si>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</si>
  <si>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</si>
  <si>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</si>
  <si>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</si>
  <si>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</si>
  <si>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</si>
  <si>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</si>
  <si>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</si>
  <si>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</si>
  <si>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</si>
  <si>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</si>
  <si>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</si>
  <si>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</si>
  <si>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</si>
  <si>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</si>
  <si>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</si>
  <si>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</si>
  <si>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</si>
  <si>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</si>
  <si>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</si>
  <si>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</si>
  <si>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</si>
  <si>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</si>
  <si>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</si>
  <si>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</si>
  <si>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</si>
  <si>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</si>
  <si>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</si>
  <si>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</si>
  <si>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</si>
  <si>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</si>
  <si>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</si>
  <si>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</si>
  <si>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</si>
  <si>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</si>
  <si>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</si>
  <si>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</si>
  <si>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</si>
  <si>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</si>
  <si>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</si>
  <si>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</si>
  <si>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</si>
  <si>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</si>
  <si>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</si>
  <si>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</si>
  <si>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</si>
  <si>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</si>
  <si>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</si>
  <si>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</si>
  <si>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</si>
  <si>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</si>
  <si>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</si>
  <si>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</si>
  <si>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</si>
  <si>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</si>
  <si>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</si>
  <si>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</si>
  <si>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</si>
  <si>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</si>
  <si>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</si>
  <si>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</si>
  <si>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</si>
  <si>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</si>
  <si>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</si>
  <si>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</si>
  <si>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</si>
  <si>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</si>
  <si>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</si>
  <si>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</si>
  <si>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</si>
  <si>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</si>
  <si>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</si>
  <si>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</si>
  <si>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</si>
  <si>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</si>
  <si>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</si>
  <si>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</si>
  <si>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</si>
  <si>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</si>
  <si>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</si>
  <si>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</si>
  <si>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</si>
  <si>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</si>
  <si>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</si>
  <si>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</si>
  <si>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</si>
  <si>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</si>
  <si>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</si>
  <si>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</si>
  <si>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</si>
  <si>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</si>
  <si>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</si>
  <si>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</si>
  <si>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</si>
  <si>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</si>
  <si>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</si>
  <si>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</si>
  <si>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</si>
  <si>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</si>
  <si>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</si>
  <si>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</si>
  <si>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</si>
  <si>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</si>
  <si>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</si>
  <si>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</si>
  <si>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</si>
  <si>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</si>
  <si>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</si>
  <si>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</si>
  <si>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</si>
  <si>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</si>
  <si>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</si>
  <si>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</si>
  <si>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</si>
  <si>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</si>
  <si>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</si>
  <si>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</si>
  <si>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</si>
  <si>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</si>
  <si>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</si>
  <si>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</si>
  <si>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</si>
  <si>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</si>
  <si>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</si>
  <si>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</si>
  <si>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</si>
  <si>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</si>
  <si>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</si>
  <si>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</si>
  <si>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</si>
  <si>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</si>
  <si>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</si>
  <si>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</si>
  <si>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</si>
  <si>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</si>
  <si>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</si>
  <si>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</si>
  <si>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</si>
  <si>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</si>
  <si>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</si>
  <si>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</si>
  <si>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</si>
  <si>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</si>
  <si>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</si>
  <si>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</si>
  <si>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</si>
  <si>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</si>
  <si>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</si>
  <si>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</si>
  <si>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</si>
  <si>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</si>
  <si>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</si>
  <si>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</si>
  <si>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</si>
  <si>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</si>
  <si>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</si>
  <si>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</si>
  <si>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</si>
  <si>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</si>
  <si>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</si>
  <si>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</si>
  <si>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</si>
  <si>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</si>
  <si>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</si>
  <si>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</si>
  <si>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</si>
  <si>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</si>
  <si>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</si>
  <si>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</si>
  <si>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</si>
  <si>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</si>
  <si>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</si>
  <si>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</si>
  <si>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</si>
  <si>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</si>
  <si>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</si>
  <si>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</si>
  <si>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</si>
  <si>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</si>
  <si>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</si>
  <si>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</si>
  <si>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</si>
  <si>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</si>
  <si>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</si>
  <si>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</si>
  <si>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</si>
  <si>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</si>
  <si>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</si>
  <si>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</si>
  <si>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</si>
  <si>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</si>
  <si>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</si>
  <si>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</si>
  <si>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</si>
  <si>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</si>
  <si>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</si>
  <si>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</si>
  <si>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</si>
  <si>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</si>
  <si>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</si>
  <si>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</si>
  <si>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</si>
  <si>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</si>
  <si>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</si>
  <si>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</si>
  <si>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</si>
  <si>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</si>
  <si>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</si>
  <si>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</si>
  <si>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</si>
  <si>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</si>
  <si>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</si>
  <si>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</si>
  <si>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</si>
  <si>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</si>
  <si>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</si>
  <si>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</si>
  <si>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</si>
  <si>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</si>
  <si>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</si>
  <si>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</si>
  <si>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</si>
  <si>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</si>
  <si>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</si>
  <si>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</si>
  <si>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</si>
  <si>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</si>
  <si>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</si>
  <si>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</si>
  <si>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</si>
  <si>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</si>
  <si>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</si>
  <si>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</si>
  <si>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</si>
  <si>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</si>
  <si>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</si>
  <si>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</si>
  <si>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</si>
  <si>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</si>
  <si>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</si>
  <si>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</si>
  <si>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</si>
  <si>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</si>
  <si>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</si>
  <si>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</si>
  <si>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</si>
  <si>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</si>
  <si>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</si>
  <si>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</si>
  <si>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</si>
  <si>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</si>
  <si>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</si>
  <si>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</si>
  <si>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</si>
  <si>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</si>
  <si>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</si>
  <si>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</si>
  <si>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</si>
  <si>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</si>
  <si>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</si>
  <si>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</si>
  <si>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</si>
  <si>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</si>
  <si>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</si>
  <si>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</si>
  <si>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</si>
  <si>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</si>
  <si>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</si>
  <si>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</si>
  <si>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</si>
  <si>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</si>
  <si>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</si>
  <si>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</si>
  <si>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</si>
  <si>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</si>
  <si>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</si>
  <si>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</si>
  <si>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</si>
  <si>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</si>
  <si>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</si>
  <si>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</si>
  <si>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</si>
  <si>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</si>
  <si>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</si>
  <si>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</si>
  <si>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</si>
  <si>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</si>
  <si>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</si>
  <si>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</si>
  <si>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</si>
  <si>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</si>
  <si>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</si>
  <si>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</si>
  <si>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</si>
  <si>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</si>
  <si>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</si>
  <si>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</si>
  <si>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</si>
  <si>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</si>
  <si>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</si>
  <si>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</si>
  <si>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</si>
  <si>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</si>
  <si>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</si>
  <si>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</si>
  <si>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</si>
  <si>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</si>
  <si>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</si>
  <si>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</si>
  <si>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</si>
  <si>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</si>
  <si>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</si>
  <si>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</si>
  <si>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</si>
  <si>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</si>
  <si>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</si>
  <si>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</si>
  <si>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</si>
  <si>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</si>
  <si>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</si>
  <si>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</si>
  <si>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</si>
  <si>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</si>
  <si>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</si>
  <si>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</si>
  <si>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</si>
  <si>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</si>
  <si>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</si>
  <si>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</si>
  <si>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</si>
  <si>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</si>
  <si>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</si>
  <si>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</si>
  <si>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</si>
  <si>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</si>
  <si>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</si>
  <si>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</si>
  <si>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</si>
  <si>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</si>
  <si>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</si>
  <si>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</si>
  <si>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</si>
  <si>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</si>
  <si>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</si>
  <si>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</si>
  <si>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</si>
  <si>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</si>
  <si>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</si>
  <si>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</si>
  <si>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</si>
  <si>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</si>
  <si>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</si>
  <si>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</si>
  <si>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</si>
  <si>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</si>
  <si>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</si>
  <si>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</si>
  <si>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</si>
  <si>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</si>
  <si>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</si>
  <si>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</si>
  <si>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</si>
  <si>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</si>
  <si>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</si>
  <si>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</si>
  <si>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</si>
  <si>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</si>
  <si>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</si>
  <si>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</si>
  <si>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</si>
  <si>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</si>
  <si>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</si>
  <si>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</si>
  <si>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</si>
  <si>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</si>
  <si>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</si>
  <si>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</si>
  <si>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</si>
  <si>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</si>
  <si>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</si>
  <si>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</si>
  <si>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</si>
  <si>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</si>
  <si>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</si>
  <si>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</si>
  <si>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</si>
  <si>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</si>
  <si>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</si>
  <si>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</si>
  <si>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</si>
  <si>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</si>
  <si>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</si>
  <si>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</si>
  <si>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</si>
  <si>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</si>
  <si>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</si>
  <si>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</si>
  <si>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</si>
  <si>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</si>
  <si>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</si>
  <si>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</si>
  <si>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</si>
  <si>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</si>
  <si>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</si>
  <si>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</si>
  <si>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</si>
  <si>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</si>
  <si>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</si>
  <si>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</si>
  <si>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</si>
  <si>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</si>
  <si>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</si>
  <si>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</si>
  <si>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</si>
  <si>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</si>
  <si>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</si>
  <si>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</si>
  <si>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</si>
  <si>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</si>
  <si>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</si>
  <si>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</si>
  <si>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</si>
  <si>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</si>
  <si>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</si>
  <si>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</si>
  <si>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</si>
  <si>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</si>
  <si>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</si>
  <si>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</si>
  <si>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</si>
  <si>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</si>
  <si>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</si>
  <si>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</si>
  <si>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</si>
  <si>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</si>
  <si>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</si>
  <si>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</si>
  <si>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</si>
  <si>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</si>
  <si>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</si>
  <si>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</si>
  <si>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</si>
  <si>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</si>
  <si>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</si>
  <si>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</si>
  <si>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</si>
  <si>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</si>
  <si>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</si>
  <si>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</si>
  <si>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</si>
  <si>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</si>
  <si>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</si>
  <si>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</si>
  <si>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</si>
  <si>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</si>
  <si>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</si>
  <si>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</si>
  <si>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</si>
  <si>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</si>
  <si>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</si>
  <si>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</si>
  <si>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</si>
  <si>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</si>
  <si>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</si>
  <si>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</si>
  <si>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</si>
  <si>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</si>
  <si>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</si>
  <si>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</si>
  <si>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</si>
  <si>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</si>
  <si>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</si>
  <si>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</si>
  <si>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</si>
  <si>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</si>
  <si>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</si>
  <si>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</si>
  <si>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</si>
  <si>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</si>
  <si>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</si>
  <si>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</si>
  <si>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</si>
  <si>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</si>
  <si>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</si>
  <si>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</si>
  <si>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</si>
  <si>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</si>
  <si>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</si>
  <si>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</si>
  <si>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</si>
  <si>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</si>
  <si>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</si>
  <si>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</si>
  <si>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</si>
  <si>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</si>
  <si>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</si>
  <si>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</si>
  <si>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</si>
  <si>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</si>
  <si>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</si>
  <si>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</si>
  <si>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</si>
  <si>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</si>
  <si>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</si>
  <si>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</si>
  <si>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</si>
  <si>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</si>
  <si>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</si>
  <si>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</si>
  <si>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</si>
  <si>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</si>
  <si>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</si>
  <si>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</si>
  <si>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</si>
  <si>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</si>
  <si>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</si>
  <si>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</si>
  <si>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</si>
  <si>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</si>
  <si>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</si>
  <si>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</si>
  <si>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</si>
  <si>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</si>
  <si>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</si>
  <si>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</si>
  <si>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</si>
  <si>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</si>
  <si>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</si>
  <si>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</si>
  <si>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</si>
  <si>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</si>
  <si>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</si>
  <si>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</si>
  <si>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</si>
  <si>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</si>
  <si>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</si>
  <si>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</si>
  <si>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</si>
  <si>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</si>
  <si>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</si>
  <si>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</si>
  <si>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</si>
  <si>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</si>
  <si>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</si>
  <si>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</si>
  <si>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</si>
  <si>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</si>
  <si>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</si>
  <si>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</si>
  <si>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</si>
  <si>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</si>
  <si>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</si>
  <si>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</si>
  <si>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</si>
  <si>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</si>
  <si>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</si>
  <si>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</si>
  <si>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</si>
  <si>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</si>
  <si>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</si>
  <si>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</si>
  <si>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</si>
  <si>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</si>
  <si>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</si>
  <si>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</si>
  <si>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</si>
  <si>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</si>
  <si>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</si>
  <si>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</si>
  <si>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</si>
  <si>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</si>
  <si>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</si>
  <si>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</si>
  <si>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</si>
  <si>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</si>
  <si>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</si>
  <si>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</si>
  <si>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</si>
  <si>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</si>
  <si>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</si>
  <si>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</si>
  <si>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</si>
  <si>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</si>
  <si>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</si>
  <si>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</si>
  <si>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</si>
  <si>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</si>
  <si>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</si>
  <si>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</si>
  <si>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</si>
  <si>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</si>
  <si>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</si>
  <si>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</si>
  <si>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</si>
  <si>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</si>
  <si>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</si>
  <si>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</si>
  <si>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</si>
  <si>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</si>
  <si>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</si>
  <si>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</si>
  <si>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</si>
  <si>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</si>
  <si>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</si>
  <si>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</si>
  <si>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</si>
  <si>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</si>
  <si>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</si>
  <si>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</si>
  <si>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</si>
  <si>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</si>
  <si>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</si>
  <si>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</si>
  <si>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</si>
  <si>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</si>
  <si>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</si>
  <si>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</si>
  <si>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</si>
  <si>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</si>
  <si>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</si>
  <si>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</si>
  <si>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</si>
  <si>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</si>
  <si>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</si>
  <si>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</si>
  <si>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</si>
  <si>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</si>
  <si>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</si>
  <si>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</si>
  <si>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</si>
  <si>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</si>
  <si>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</si>
  <si>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</si>
  <si>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</si>
  <si>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</si>
  <si>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</si>
  <si>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</si>
  <si>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</si>
  <si>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</si>
  <si>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</si>
  <si>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</si>
  <si>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</si>
  <si>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</si>
  <si>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</si>
  <si>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</si>
  <si>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</si>
  <si>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</si>
  <si>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</si>
  <si>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</si>
  <si>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</si>
  <si>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</si>
  <si>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</si>
  <si>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</si>
  <si>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</si>
  <si>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</si>
  <si>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</si>
  <si>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</si>
  <si>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</si>
  <si>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</si>
  <si>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</si>
  <si>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</si>
  <si>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</si>
  <si>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</si>
  <si>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</si>
  <si>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</si>
  <si>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</si>
  <si>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</si>
  <si>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</si>
  <si>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</si>
  <si>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</si>
  <si>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</si>
  <si>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</si>
  <si>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</si>
  <si>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</si>
  <si>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</si>
  <si>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</si>
  <si>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</si>
  <si>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</si>
  <si>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</si>
  <si>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</si>
  <si>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</si>
  <si>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</si>
  <si>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</si>
  <si>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</si>
  <si>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</si>
  <si>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</si>
  <si>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</si>
  <si>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</si>
  <si>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</si>
  <si>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</si>
  <si>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</si>
  <si>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</si>
  <si>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</si>
  <si>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</si>
  <si>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</si>
  <si>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</si>
  <si>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</si>
  <si>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</si>
  <si>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</si>
  <si>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</si>
  <si>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</si>
  <si>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</si>
  <si>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</si>
  <si>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</si>
  <si>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</si>
  <si>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73042</t>
  </si>
  <si>
    <t>LANAKEN</t>
  </si>
  <si>
    <t>Paarden&amp;pony's 200 - 600 kg</t>
  </si>
  <si>
    <t>Paarden&amp;pony's &lt; 200 kg</t>
  </si>
  <si>
    <t>Fluvius</t>
  </si>
  <si>
    <t>referentietaak LNE (2017); Jaarverslag De Lijn</t>
  </si>
  <si>
    <t>Patrick Geerlings</t>
  </si>
  <si>
    <t>Elzenstraat 14, 3620 Lanaken</t>
  </si>
  <si>
    <t>WKK-0069 Geerlings</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</si>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</sst>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217483.61429212618</c:v>
                </c:pt>
                <c:pt idx="1">
                  <c:v>181416.46285305603</c:v>
                </c:pt>
                <c:pt idx="2">
                  <c:v>1647.865</c:v>
                </c:pt>
                <c:pt idx="3">
                  <c:v>6899.7350502510963</c:v>
                </c:pt>
                <c:pt idx="4">
                  <c:v>86611.528494798506</c:v>
                </c:pt>
                <c:pt idx="5">
                  <c:v>146672.46369691836</c:v>
                </c:pt>
                <c:pt idx="6">
                  <c:v>2507.9517481809098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217483.61429212618</c:v>
                </c:pt>
                <c:pt idx="1">
                  <c:v>181416.46285305603</c:v>
                </c:pt>
                <c:pt idx="2">
                  <c:v>1647.865</c:v>
                </c:pt>
                <c:pt idx="3">
                  <c:v>6899.7350502510963</c:v>
                </c:pt>
                <c:pt idx="4">
                  <c:v>86611.528494798506</c:v>
                </c:pt>
                <c:pt idx="5">
                  <c:v>146672.46369691836</c:v>
                </c:pt>
                <c:pt idx="6">
                  <c:v>2507.9517481809098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42966.937838057507</c:v>
                </c:pt>
                <c:pt idx="2">
                  <c:v>35673.095808319762</c:v>
                </c:pt>
                <c:pt idx="3">
                  <c:v>290.57983597038128</c:v>
                </c:pt>
                <c:pt idx="4">
                  <c:v>1596.8910473058297</c:v>
                </c:pt>
                <c:pt idx="5">
                  <c:v>16879.077285235457</c:v>
                </c:pt>
                <c:pt idx="6">
                  <c:v>36727.597984381893</c:v>
                </c:pt>
                <c:pt idx="7">
                  <c:v>633.41882468706422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42966.937838057507</c:v>
                </c:pt>
                <c:pt idx="2">
                  <c:v>35673.095808319762</c:v>
                </c:pt>
                <c:pt idx="3">
                  <c:v>290.57983597038128</c:v>
                </c:pt>
                <c:pt idx="4">
                  <c:v>1596.8910473058297</c:v>
                </c:pt>
                <c:pt idx="5">
                  <c:v>16879.077285235457</c:v>
                </c:pt>
                <c:pt idx="6">
                  <c:v>36727.597984381893</c:v>
                </c:pt>
                <c:pt idx="7">
                  <c:v>633.41882468706422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73042</v>
      </c>
      <c r="B6" s="391"/>
      <c r="C6" s="392"/>
    </row>
    <row r="7" spans="1:7" s="389" customFormat="1" ht="15.75" customHeight="1">
      <c r="A7" s="393" t="str">
        <f>txtMunicipality</f>
        <v>LANAKEN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0.17633716109655906</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0.17633716109655906</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10795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1555</v>
      </c>
      <c r="C14" s="330"/>
      <c r="D14" s="330"/>
      <c r="E14" s="330"/>
      <c r="F14" s="330"/>
    </row>
    <row r="15" spans="1:6">
      <c r="A15" s="1305" t="s">
        <v>183</v>
      </c>
      <c r="B15" s="1306">
        <v>6</v>
      </c>
      <c r="C15" s="330"/>
      <c r="D15" s="330"/>
      <c r="E15" s="330"/>
      <c r="F15" s="330"/>
    </row>
    <row r="16" spans="1:6">
      <c r="A16" s="1305" t="s">
        <v>6</v>
      </c>
      <c r="B16" s="1306">
        <v>214</v>
      </c>
      <c r="C16" s="330"/>
      <c r="D16" s="330"/>
      <c r="E16" s="330"/>
      <c r="F16" s="330"/>
    </row>
    <row r="17" spans="1:6">
      <c r="A17" s="1305" t="s">
        <v>7</v>
      </c>
      <c r="B17" s="1306">
        <v>255</v>
      </c>
      <c r="C17" s="330"/>
      <c r="D17" s="330"/>
      <c r="E17" s="330"/>
      <c r="F17" s="330"/>
    </row>
    <row r="18" spans="1:6">
      <c r="A18" s="1305" t="s">
        <v>8</v>
      </c>
      <c r="B18" s="1306">
        <v>277</v>
      </c>
      <c r="C18" s="330"/>
      <c r="D18" s="330"/>
      <c r="E18" s="330"/>
      <c r="F18" s="330"/>
    </row>
    <row r="19" spans="1:6">
      <c r="A19" s="1305" t="s">
        <v>9</v>
      </c>
      <c r="B19" s="1306">
        <v>297</v>
      </c>
      <c r="C19" s="330"/>
      <c r="D19" s="330"/>
      <c r="E19" s="330"/>
      <c r="F19" s="330"/>
    </row>
    <row r="20" spans="1:6">
      <c r="A20" s="1305" t="s">
        <v>10</v>
      </c>
      <c r="B20" s="1306">
        <v>285</v>
      </c>
      <c r="C20" s="330"/>
      <c r="D20" s="330"/>
      <c r="E20" s="330"/>
      <c r="F20" s="330"/>
    </row>
    <row r="21" spans="1:6">
      <c r="A21" s="1305" t="s">
        <v>11</v>
      </c>
      <c r="B21" s="1306">
        <v>1463</v>
      </c>
      <c r="C21" s="330"/>
      <c r="D21" s="330"/>
      <c r="E21" s="330"/>
      <c r="F21" s="330"/>
    </row>
    <row r="22" spans="1:6">
      <c r="A22" s="1305" t="s">
        <v>12</v>
      </c>
      <c r="B22" s="1306">
        <v>3266</v>
      </c>
      <c r="C22" s="330"/>
      <c r="D22" s="330"/>
      <c r="E22" s="330"/>
      <c r="F22" s="330"/>
    </row>
    <row r="23" spans="1:6">
      <c r="A23" s="1305" t="s">
        <v>13</v>
      </c>
      <c r="B23" s="1306">
        <v>66</v>
      </c>
      <c r="C23" s="330"/>
      <c r="D23" s="330"/>
      <c r="E23" s="330"/>
      <c r="F23" s="330"/>
    </row>
    <row r="24" spans="1:6">
      <c r="A24" s="1305" t="s">
        <v>14</v>
      </c>
      <c r="B24" s="1306">
        <v>4</v>
      </c>
      <c r="C24" s="330"/>
      <c r="D24" s="330"/>
      <c r="E24" s="330"/>
      <c r="F24" s="330"/>
    </row>
    <row r="25" spans="1:6">
      <c r="A25" s="1305" t="s">
        <v>15</v>
      </c>
      <c r="B25" s="1306">
        <v>381</v>
      </c>
      <c r="C25" s="330"/>
      <c r="D25" s="330"/>
      <c r="E25" s="330"/>
      <c r="F25" s="330"/>
    </row>
    <row r="26" spans="1:6">
      <c r="A26" s="1305" t="s">
        <v>16</v>
      </c>
      <c r="B26" s="1306">
        <v>84</v>
      </c>
      <c r="C26" s="330"/>
      <c r="D26" s="330"/>
      <c r="E26" s="330"/>
      <c r="F26" s="330"/>
    </row>
    <row r="27" spans="1:6">
      <c r="A27" s="1305" t="s">
        <v>17</v>
      </c>
      <c r="B27" s="1306">
        <v>26</v>
      </c>
      <c r="C27" s="330"/>
      <c r="D27" s="330"/>
      <c r="E27" s="330"/>
      <c r="F27" s="330"/>
    </row>
    <row r="28" spans="1:6" s="43" customFormat="1">
      <c r="A28" s="1307" t="s">
        <v>18</v>
      </c>
      <c r="B28" s="1308">
        <v>190898</v>
      </c>
      <c r="C28" s="336"/>
      <c r="D28" s="336"/>
      <c r="E28" s="336"/>
      <c r="F28" s="336"/>
    </row>
    <row r="29" spans="1:6">
      <c r="A29" s="1307" t="s">
        <v>909</v>
      </c>
      <c r="B29" s="1308">
        <v>209</v>
      </c>
      <c r="C29" s="336"/>
      <c r="D29" s="336"/>
      <c r="E29" s="336"/>
      <c r="F29" s="336"/>
    </row>
    <row r="30" spans="1:6">
      <c r="A30" s="1300" t="s">
        <v>910</v>
      </c>
      <c r="B30" s="1309">
        <v>35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10</v>
      </c>
      <c r="F36" s="1306">
        <v>32068</v>
      </c>
    </row>
    <row r="37" spans="1:6">
      <c r="A37" s="1305" t="s">
        <v>24</v>
      </c>
      <c r="B37" s="1305" t="s">
        <v>27</v>
      </c>
      <c r="C37" s="1306">
        <v>0</v>
      </c>
      <c r="D37" s="1306">
        <v>0</v>
      </c>
      <c r="E37" s="1306">
        <v>0</v>
      </c>
      <c r="F37" s="1306">
        <v>0</v>
      </c>
    </row>
    <row r="38" spans="1:6">
      <c r="A38" s="1305" t="s">
        <v>24</v>
      </c>
      <c r="B38" s="1305" t="s">
        <v>28</v>
      </c>
      <c r="C38" s="1306">
        <v>2</v>
      </c>
      <c r="D38" s="1306">
        <v>548059</v>
      </c>
      <c r="E38" s="1306">
        <v>2</v>
      </c>
      <c r="F38" s="1306">
        <v>30030</v>
      </c>
    </row>
    <row r="39" spans="1:6">
      <c r="A39" s="1305" t="s">
        <v>29</v>
      </c>
      <c r="B39" s="1305" t="s">
        <v>30</v>
      </c>
      <c r="C39" s="1306">
        <v>6992</v>
      </c>
      <c r="D39" s="1306">
        <v>121350844</v>
      </c>
      <c r="E39" s="1306">
        <v>11085</v>
      </c>
      <c r="F39" s="1306">
        <v>41631518</v>
      </c>
    </row>
    <row r="40" spans="1:6">
      <c r="A40" s="1305" t="s">
        <v>29</v>
      </c>
      <c r="B40" s="1305" t="s">
        <v>28</v>
      </c>
      <c r="C40" s="1306">
        <v>0</v>
      </c>
      <c r="D40" s="1306">
        <v>0</v>
      </c>
      <c r="E40" s="1306">
        <v>0</v>
      </c>
      <c r="F40" s="1306">
        <v>0</v>
      </c>
    </row>
    <row r="41" spans="1:6">
      <c r="A41" s="1305" t="s">
        <v>31</v>
      </c>
      <c r="B41" s="1305" t="s">
        <v>32</v>
      </c>
      <c r="C41" s="1306">
        <v>65</v>
      </c>
      <c r="D41" s="1306">
        <v>3451685</v>
      </c>
      <c r="E41" s="1306">
        <v>151</v>
      </c>
      <c r="F41" s="1306">
        <v>5202120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247564</v>
      </c>
      <c r="E44" s="1306">
        <v>21</v>
      </c>
      <c r="F44" s="1306">
        <v>308924</v>
      </c>
    </row>
    <row r="45" spans="1:6">
      <c r="A45" s="1305" t="s">
        <v>31</v>
      </c>
      <c r="B45" s="1305" t="s">
        <v>36</v>
      </c>
      <c r="C45" s="1306">
        <v>8</v>
      </c>
      <c r="D45" s="1306">
        <v>380260</v>
      </c>
      <c r="E45" s="1306">
        <v>13</v>
      </c>
      <c r="F45" s="1306">
        <v>12509260</v>
      </c>
    </row>
    <row r="46" spans="1:6">
      <c r="A46" s="1305" t="s">
        <v>31</v>
      </c>
      <c r="B46" s="1305" t="s">
        <v>37</v>
      </c>
      <c r="C46" s="1306">
        <v>0</v>
      </c>
      <c r="D46" s="1306">
        <v>0</v>
      </c>
      <c r="E46" s="1306">
        <v>0</v>
      </c>
      <c r="F46" s="1306">
        <v>0</v>
      </c>
    </row>
    <row r="47" spans="1:6">
      <c r="A47" s="1305" t="s">
        <v>31</v>
      </c>
      <c r="B47" s="1305" t="s">
        <v>38</v>
      </c>
      <c r="C47" s="1306">
        <v>3</v>
      </c>
      <c r="D47" s="1306">
        <v>115873</v>
      </c>
      <c r="E47" s="1306">
        <v>3</v>
      </c>
      <c r="F47" s="1306">
        <v>276374</v>
      </c>
    </row>
    <row r="48" spans="1:6">
      <c r="A48" s="1305" t="s">
        <v>31</v>
      </c>
      <c r="B48" s="1305" t="s">
        <v>28</v>
      </c>
      <c r="C48" s="1306">
        <v>1</v>
      </c>
      <c r="D48" s="1306">
        <v>31221804</v>
      </c>
      <c r="E48" s="1306">
        <v>2</v>
      </c>
      <c r="F48" s="1306">
        <v>19446033</v>
      </c>
    </row>
    <row r="49" spans="1:6">
      <c r="A49" s="1305" t="s">
        <v>31</v>
      </c>
      <c r="B49" s="1305" t="s">
        <v>39</v>
      </c>
      <c r="C49" s="1306">
        <v>5</v>
      </c>
      <c r="D49" s="1306">
        <v>670120</v>
      </c>
      <c r="E49" s="1306">
        <v>5</v>
      </c>
      <c r="F49" s="1306">
        <v>138958</v>
      </c>
    </row>
    <row r="50" spans="1:6">
      <c r="A50" s="1305" t="s">
        <v>31</v>
      </c>
      <c r="B50" s="1305" t="s">
        <v>40</v>
      </c>
      <c r="C50" s="1306">
        <v>10</v>
      </c>
      <c r="D50" s="1306">
        <v>669757</v>
      </c>
      <c r="E50" s="1306">
        <v>13</v>
      </c>
      <c r="F50" s="1306">
        <v>715857</v>
      </c>
    </row>
    <row r="51" spans="1:6">
      <c r="A51" s="1305" t="s">
        <v>41</v>
      </c>
      <c r="B51" s="1305" t="s">
        <v>42</v>
      </c>
      <c r="C51" s="1306">
        <v>14</v>
      </c>
      <c r="D51" s="1306">
        <v>2530828</v>
      </c>
      <c r="E51" s="1306">
        <v>49</v>
      </c>
      <c r="F51" s="1306">
        <v>1247898</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96</v>
      </c>
      <c r="F54" s="1306">
        <v>1647865</v>
      </c>
    </row>
    <row r="55" spans="1:6">
      <c r="A55" s="1305" t="s">
        <v>45</v>
      </c>
      <c r="B55" s="1305" t="s">
        <v>28</v>
      </c>
      <c r="C55" s="1306">
        <v>0</v>
      </c>
      <c r="D55" s="1306">
        <v>0</v>
      </c>
      <c r="E55" s="1306">
        <v>0</v>
      </c>
      <c r="F55" s="1306">
        <v>0</v>
      </c>
    </row>
    <row r="56" spans="1:6">
      <c r="A56" s="1305" t="s">
        <v>47</v>
      </c>
      <c r="B56" s="1305" t="s">
        <v>28</v>
      </c>
      <c r="C56" s="1306">
        <v>89</v>
      </c>
      <c r="D56" s="1306">
        <v>2724235</v>
      </c>
      <c r="E56" s="1306">
        <v>314</v>
      </c>
      <c r="F56" s="1306">
        <v>2040463</v>
      </c>
    </row>
    <row r="57" spans="1:6">
      <c r="A57" s="1305" t="s">
        <v>48</v>
      </c>
      <c r="B57" s="1305" t="s">
        <v>49</v>
      </c>
      <c r="C57" s="1306">
        <v>54</v>
      </c>
      <c r="D57" s="1306">
        <v>3141609</v>
      </c>
      <c r="E57" s="1306">
        <v>127</v>
      </c>
      <c r="F57" s="1306">
        <v>3187184</v>
      </c>
    </row>
    <row r="58" spans="1:6">
      <c r="A58" s="1305" t="s">
        <v>48</v>
      </c>
      <c r="B58" s="1305" t="s">
        <v>50</v>
      </c>
      <c r="C58" s="1306">
        <v>30</v>
      </c>
      <c r="D58" s="1306">
        <v>11734213</v>
      </c>
      <c r="E58" s="1306">
        <v>38</v>
      </c>
      <c r="F58" s="1306">
        <v>3455852</v>
      </c>
    </row>
    <row r="59" spans="1:6">
      <c r="A59" s="1305" t="s">
        <v>48</v>
      </c>
      <c r="B59" s="1305" t="s">
        <v>51</v>
      </c>
      <c r="C59" s="1306">
        <v>173</v>
      </c>
      <c r="D59" s="1306">
        <v>125114695</v>
      </c>
      <c r="E59" s="1306">
        <v>290</v>
      </c>
      <c r="F59" s="1306">
        <v>9220476</v>
      </c>
    </row>
    <row r="60" spans="1:6">
      <c r="A60" s="1305" t="s">
        <v>48</v>
      </c>
      <c r="B60" s="1305" t="s">
        <v>52</v>
      </c>
      <c r="C60" s="1306">
        <v>80</v>
      </c>
      <c r="D60" s="1306">
        <v>5680111</v>
      </c>
      <c r="E60" s="1306">
        <v>117</v>
      </c>
      <c r="F60" s="1306">
        <v>5600211</v>
      </c>
    </row>
    <row r="61" spans="1:6">
      <c r="A61" s="1305" t="s">
        <v>48</v>
      </c>
      <c r="B61" s="1305" t="s">
        <v>53</v>
      </c>
      <c r="C61" s="1306">
        <v>197</v>
      </c>
      <c r="D61" s="1306">
        <v>10157668</v>
      </c>
      <c r="E61" s="1306">
        <v>463</v>
      </c>
      <c r="F61" s="1306">
        <v>8863296</v>
      </c>
    </row>
    <row r="62" spans="1:6">
      <c r="A62" s="1305" t="s">
        <v>48</v>
      </c>
      <c r="B62" s="1305" t="s">
        <v>54</v>
      </c>
      <c r="C62" s="1306">
        <v>13</v>
      </c>
      <c r="D62" s="1306">
        <v>2559239</v>
      </c>
      <c r="E62" s="1306">
        <v>16</v>
      </c>
      <c r="F62" s="1306">
        <v>702711</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7</v>
      </c>
      <c r="D68" s="1309">
        <v>466078</v>
      </c>
      <c r="E68" s="1309">
        <v>21</v>
      </c>
      <c r="F68" s="1309">
        <v>779978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143061108</v>
      </c>
      <c r="E73" s="450"/>
      <c r="F73" s="330"/>
    </row>
    <row r="74" spans="1:6">
      <c r="A74" s="1305" t="s">
        <v>63</v>
      </c>
      <c r="B74" s="1305" t="s">
        <v>710</v>
      </c>
      <c r="C74" s="1319" t="s">
        <v>712</v>
      </c>
      <c r="D74" s="1320">
        <v>8658481.1355825234</v>
      </c>
      <c r="E74" s="450"/>
      <c r="F74" s="330"/>
    </row>
    <row r="75" spans="1:6">
      <c r="A75" s="1305" t="s">
        <v>64</v>
      </c>
      <c r="B75" s="1305" t="s">
        <v>709</v>
      </c>
      <c r="C75" s="1319" t="s">
        <v>713</v>
      </c>
      <c r="D75" s="1320">
        <v>37508480</v>
      </c>
      <c r="E75" s="450"/>
      <c r="F75" s="330"/>
    </row>
    <row r="76" spans="1:6">
      <c r="A76" s="1305" t="s">
        <v>64</v>
      </c>
      <c r="B76" s="1305" t="s">
        <v>710</v>
      </c>
      <c r="C76" s="1319" t="s">
        <v>714</v>
      </c>
      <c r="D76" s="1320">
        <v>480120.13558252342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673385.72883495316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14015.525023746064</v>
      </c>
      <c r="C90" s="330"/>
      <c r="D90" s="330"/>
      <c r="E90" s="330"/>
      <c r="F90" s="330"/>
    </row>
    <row r="91" spans="1:6">
      <c r="A91" s="1305" t="s">
        <v>67</v>
      </c>
      <c r="B91" s="1306">
        <v>6170.4657248143349</v>
      </c>
      <c r="C91" s="330"/>
      <c r="D91" s="330"/>
      <c r="E91" s="330"/>
      <c r="F91" s="330"/>
    </row>
    <row r="92" spans="1:6">
      <c r="A92" s="1300" t="s">
        <v>68</v>
      </c>
      <c r="B92" s="1301">
        <v>4554.3665534329175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3561</v>
      </c>
      <c r="C97" s="330"/>
      <c r="D97" s="330"/>
      <c r="E97" s="330"/>
      <c r="F97" s="330"/>
    </row>
    <row r="98" spans="1:6">
      <c r="A98" s="1305" t="s">
        <v>71</v>
      </c>
      <c r="B98" s="1306">
        <v>4</v>
      </c>
      <c r="C98" s="330"/>
      <c r="D98" s="330"/>
      <c r="E98" s="330"/>
      <c r="F98" s="330"/>
    </row>
    <row r="99" spans="1:6">
      <c r="A99" s="1305" t="s">
        <v>72</v>
      </c>
      <c r="B99" s="1306">
        <v>44</v>
      </c>
      <c r="C99" s="330"/>
      <c r="D99" s="330"/>
      <c r="E99" s="330"/>
      <c r="F99" s="330"/>
    </row>
    <row r="100" spans="1:6">
      <c r="A100" s="1305" t="s">
        <v>73</v>
      </c>
      <c r="B100" s="1306">
        <v>445</v>
      </c>
      <c r="C100" s="330"/>
      <c r="D100" s="330"/>
      <c r="E100" s="330"/>
      <c r="F100" s="330"/>
    </row>
    <row r="101" spans="1:6">
      <c r="A101" s="1305" t="s">
        <v>74</v>
      </c>
      <c r="B101" s="1306">
        <v>43</v>
      </c>
      <c r="C101" s="330"/>
      <c r="D101" s="330"/>
      <c r="E101" s="330"/>
      <c r="F101" s="330"/>
    </row>
    <row r="102" spans="1:6">
      <c r="A102" s="1305" t="s">
        <v>75</v>
      </c>
      <c r="B102" s="1306">
        <v>124</v>
      </c>
      <c r="C102" s="330"/>
      <c r="D102" s="330"/>
      <c r="E102" s="330"/>
      <c r="F102" s="330"/>
    </row>
    <row r="103" spans="1:6">
      <c r="A103" s="1305" t="s">
        <v>76</v>
      </c>
      <c r="B103" s="1306">
        <v>173</v>
      </c>
      <c r="C103" s="330"/>
      <c r="D103" s="330"/>
      <c r="E103" s="330"/>
      <c r="F103" s="330"/>
    </row>
    <row r="104" spans="1:6">
      <c r="A104" s="1305" t="s">
        <v>77</v>
      </c>
      <c r="B104" s="1306">
        <v>4601</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12</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190</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19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122410.64570155281</v>
      </c>
      <c r="C3" s="43" t="s">
        <v>169</v>
      </c>
      <c r="D3" s="43"/>
      <c r="E3" s="154"/>
      <c r="F3" s="43"/>
      <c r="G3" s="43"/>
      <c r="H3" s="43"/>
      <c r="I3" s="43"/>
      <c r="J3" s="43"/>
      <c r="K3" s="96"/>
    </row>
    <row r="4" spans="1:11">
      <c r="A4" s="359" t="s">
        <v>170</v>
      </c>
      <c r="B4" s="49">
        <f>IF(ISERROR('SEAP template'!B78+'SEAP template'!C78),0,'SEAP template'!B78+'SEAP template'!C78)</f>
        <v>24765.107301993317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5.8817647058823539</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0.17633716109655906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8.4025210084033635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35.357142857142861</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1647.865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1647.865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0.17633716109655906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290.57983597038128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41631.517999999996</v>
      </c>
      <c r="C5" s="17">
        <f>IF(ISERROR('Eigen informatie GS &amp; warmtenet'!B57),0,'Eigen informatie GS &amp; warmtenet'!B57)</f>
        <v>0</v>
      </c>
      <c r="D5" s="30">
        <f>(SUM(HH_hh_gas_kWh,HH_rest_gas_kWh)/1000)*0.902</f>
        <v>109458.46128800001</v>
      </c>
      <c r="E5" s="17">
        <f>B46*B57</f>
        <v>14900.655715443998</v>
      </c>
      <c r="F5" s="17">
        <f>B51*B62</f>
        <v>33874.957699093793</v>
      </c>
      <c r="G5" s="18"/>
      <c r="H5" s="17"/>
      <c r="I5" s="17"/>
      <c r="J5" s="17">
        <f>B50*B61+C50*C61</f>
        <v>0</v>
      </c>
      <c r="K5" s="17"/>
      <c r="L5" s="17"/>
      <c r="M5" s="17"/>
      <c r="N5" s="17">
        <f>B48*B59+C48*C59</f>
        <v>10500.999198107373</v>
      </c>
      <c r="O5" s="17">
        <f>B69*B70*B71</f>
        <v>317.35666666666668</v>
      </c>
      <c r="P5" s="17">
        <f>B77*B78*B79/1000-B77*B78*B79/1000/B80</f>
        <v>629.20000000000005</v>
      </c>
    </row>
    <row r="6" spans="1:16">
      <c r="A6" s="16" t="s">
        <v>630</v>
      </c>
      <c r="B6" s="763">
        <f>kWh_PV_kleiner_dan_10kW</f>
        <v>6170.4657248143349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47801.98372481433</v>
      </c>
      <c r="C8" s="21">
        <f>C5</f>
        <v>0</v>
      </c>
      <c r="D8" s="21">
        <f>D5</f>
        <v>109458.46128800001</v>
      </c>
      <c r="E8" s="21">
        <f>E5</f>
        <v>14900.655715443998</v>
      </c>
      <c r="F8" s="21">
        <f>F5</f>
        <v>33874.957699093793</v>
      </c>
      <c r="G8" s="21"/>
      <c r="H8" s="21"/>
      <c r="I8" s="21"/>
      <c r="J8" s="21">
        <f>J5</f>
        <v>0</v>
      </c>
      <c r="K8" s="21"/>
      <c r="L8" s="21">
        <f>L5</f>
        <v>0</v>
      </c>
      <c r="M8" s="21">
        <f>M5</f>
        <v>0</v>
      </c>
      <c r="N8" s="21">
        <f>N5</f>
        <v>10500.999198107373</v>
      </c>
      <c r="O8" s="21">
        <f>O5</f>
        <v>317.35666666666668</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0.17633716109655906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8429.2661048176797</v>
      </c>
      <c r="C12" s="23">
        <f ca="1">C10*C8</f>
        <v>0</v>
      </c>
      <c r="D12" s="23">
        <f>D8*D10</f>
        <v>22110.609180176001</v>
      </c>
      <c r="E12" s="23">
        <f>E10*E8</f>
        <v>3382.4488474057875</v>
      </c>
      <c r="F12" s="23">
        <f>F10*F8</f>
        <v>9044.6137056580428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3561</v>
      </c>
      <c r="C18" s="166" t="s">
        <v>110</v>
      </c>
      <c r="D18" s="228"/>
      <c r="E18" s="15"/>
    </row>
    <row r="19" spans="1:7">
      <c r="A19" s="171" t="s">
        <v>71</v>
      </c>
      <c r="B19" s="37">
        <f>aantalw2001_ander</f>
        <v>4</v>
      </c>
      <c r="C19" s="166" t="s">
        <v>110</v>
      </c>
      <c r="D19" s="229"/>
      <c r="E19" s="15"/>
    </row>
    <row r="20" spans="1:7">
      <c r="A20" s="171" t="s">
        <v>72</v>
      </c>
      <c r="B20" s="37">
        <f>aantalw2001_propaan</f>
        <v>44</v>
      </c>
      <c r="C20" s="167">
        <f>IF(ISERROR(B20/SUM($B$20,$B$21,$B$22)*100),0,B20/SUM($B$20,$B$21,$B$22)*100)</f>
        <v>8.2706766917293226</v>
      </c>
      <c r="D20" s="229"/>
      <c r="E20" s="15"/>
    </row>
    <row r="21" spans="1:7">
      <c r="A21" s="171" t="s">
        <v>73</v>
      </c>
      <c r="B21" s="37">
        <f>aantalw2001_elektriciteit</f>
        <v>445</v>
      </c>
      <c r="C21" s="167">
        <f>IF(ISERROR(B21/SUM($B$20,$B$21,$B$22)*100),0,B21/SUM($B$20,$B$21,$B$22)*100)</f>
        <v>83.646616541353382</v>
      </c>
      <c r="D21" s="229"/>
      <c r="E21" s="15"/>
    </row>
    <row r="22" spans="1:7">
      <c r="A22" s="171" t="s">
        <v>74</v>
      </c>
      <c r="B22" s="37">
        <f>aantalw2001_hout</f>
        <v>43</v>
      </c>
      <c r="C22" s="167">
        <f>IF(ISERROR(B22/SUM($B$20,$B$21,$B$22)*100),0,B22/SUM($B$20,$B$21,$B$22)*100)</f>
        <v>8.0827067669172923</v>
      </c>
      <c r="D22" s="229"/>
      <c r="E22" s="15"/>
    </row>
    <row r="23" spans="1:7">
      <c r="A23" s="171" t="s">
        <v>75</v>
      </c>
      <c r="B23" s="37">
        <f>aantalw2001_niet_gespec</f>
        <v>124</v>
      </c>
      <c r="C23" s="166" t="s">
        <v>110</v>
      </c>
      <c r="D23" s="228"/>
      <c r="E23" s="15"/>
    </row>
    <row r="24" spans="1:7">
      <c r="A24" s="171" t="s">
        <v>76</v>
      </c>
      <c r="B24" s="37">
        <f>aantalw2001_steenkool</f>
        <v>173</v>
      </c>
      <c r="C24" s="166" t="s">
        <v>110</v>
      </c>
      <c r="D24" s="229"/>
      <c r="E24" s="15"/>
    </row>
    <row r="25" spans="1:7">
      <c r="A25" s="171" t="s">
        <v>77</v>
      </c>
      <c r="B25" s="37">
        <f>aantalw2001_stookolie</f>
        <v>4601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10795</v>
      </c>
      <c r="C28" s="36"/>
      <c r="D28" s="228"/>
    </row>
    <row r="29" spans="1:7" s="15" customFormat="1">
      <c r="A29" s="230" t="s">
        <v>737</v>
      </c>
      <c r="B29" s="37">
        <f>SUM(HH_hh_gas_aantal,HH_rest_gas_aantal)</f>
        <v>6992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6992</v>
      </c>
      <c r="C32" s="167">
        <f>IF(ISERROR(B32/SUM($B$32,$B$34,$B$35,$B$36,$B$38,$B$39)*100),0,B32/SUM($B$32,$B$34,$B$35,$B$36,$B$38,$B$39)*100)</f>
        <v>64.969336554543773</v>
      </c>
      <c r="D32" s="233"/>
      <c r="G32" s="15"/>
    </row>
    <row r="33" spans="1:7">
      <c r="A33" s="171" t="s">
        <v>71</v>
      </c>
      <c r="B33" s="34" t="s">
        <v>110</v>
      </c>
      <c r="C33" s="167"/>
      <c r="D33" s="233"/>
      <c r="G33" s="15"/>
    </row>
    <row r="34" spans="1:7">
      <c r="A34" s="171" t="s">
        <v>72</v>
      </c>
      <c r="B34" s="33">
        <f>IF((($B$28-$B$32-$B$39-$B$77-$B$38)*C20/100)&lt;0,0,($B$28-$B$32-$B$39-$B$77-$B$38)*C20/100)</f>
        <v>186.66090225563909</v>
      </c>
      <c r="C34" s="167">
        <f>IF(ISERROR(B34/SUM($B$32,$B$34,$B$35,$B$36,$B$38,$B$39)*100),0,B34/SUM($B$32,$B$34,$B$35,$B$36,$B$38,$B$39)*100)</f>
        <v>1.7344443621598131</v>
      </c>
      <c r="D34" s="233"/>
      <c r="G34" s="15"/>
    </row>
    <row r="35" spans="1:7">
      <c r="A35" s="171" t="s">
        <v>73</v>
      </c>
      <c r="B35" s="33">
        <f>IF((($B$28-$B$32-$B$39-$B$77-$B$38)*C21/100)&lt;0,0,($B$28-$B$32-$B$39-$B$77-$B$38)*C21/100)</f>
        <v>1887.8204887218046</v>
      </c>
      <c r="C35" s="167">
        <f>IF(ISERROR(B35/SUM($B$32,$B$34,$B$35,$B$36,$B$38,$B$39)*100),0,B35/SUM($B$32,$B$34,$B$35,$B$36,$B$38,$B$39)*100)</f>
        <v>17.541539571843568</v>
      </c>
      <c r="D35" s="233"/>
      <c r="G35" s="15"/>
    </row>
    <row r="36" spans="1:7">
      <c r="A36" s="171" t="s">
        <v>74</v>
      </c>
      <c r="B36" s="33">
        <f>IF((($B$28-$B$32-$B$39-$B$77-$B$38)*C22/100)&lt;0,0,($B$28-$B$32-$B$39-$B$77-$B$38)*C22/100)</f>
        <v>182.41860902255638</v>
      </c>
      <c r="C36" s="167">
        <f>IF(ISERROR(B36/SUM($B$32,$B$34,$B$35,$B$36,$B$38,$B$39)*100),0,B36/SUM($B$32,$B$34,$B$35,$B$36,$B$38,$B$39)*100)</f>
        <v>1.6950251721107263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1513.1</v>
      </c>
      <c r="C39" s="167">
        <f>IF(ISERROR(B39/SUM($B$32,$B$34,$B$35,$B$36,$B$38,$B$39)*100),0,B39/SUM($B$32,$B$34,$B$35,$B$36,$B$38,$B$39)*100)</f>
        <v>14.059654339342128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6992</v>
      </c>
      <c r="C44" s="34" t="s">
        <v>110</v>
      </c>
      <c r="D44" s="174"/>
    </row>
    <row r="45" spans="1:7">
      <c r="A45" s="171" t="s">
        <v>71</v>
      </c>
      <c r="B45" s="33" t="str">
        <f t="shared" si="0"/>
        <v>-</v>
      </c>
      <c r="C45" s="34" t="s">
        <v>110</v>
      </c>
      <c r="D45" s="174"/>
    </row>
    <row r="46" spans="1:7">
      <c r="A46" s="171" t="s">
        <v>72</v>
      </c>
      <c r="B46" s="33">
        <f t="shared" si="0"/>
        <v>186.66090225563909</v>
      </c>
      <c r="C46" s="34" t="s">
        <v>110</v>
      </c>
      <c r="D46" s="174"/>
    </row>
    <row r="47" spans="1:7">
      <c r="A47" s="171" t="s">
        <v>73</v>
      </c>
      <c r="B47" s="33">
        <f t="shared" si="0"/>
        <v>1887.8204887218046</v>
      </c>
      <c r="C47" s="34" t="s">
        <v>110</v>
      </c>
      <c r="D47" s="174"/>
    </row>
    <row r="48" spans="1:7">
      <c r="A48" s="171" t="s">
        <v>74</v>
      </c>
      <c r="B48" s="33">
        <f t="shared" si="0"/>
        <v>182.41860902255638</v>
      </c>
      <c r="C48" s="33">
        <f>B48*10</f>
        <v>1824.1860902255639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1513.1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31029.73</v>
      </c>
      <c r="C5" s="17">
        <f>IF(ISERROR('Eigen informatie GS &amp; warmtenet'!B58),0,'Eigen informatie GS &amp; warmtenet'!B58)</f>
        <v>0</v>
      </c>
      <c r="D5" s="30">
        <f>SUM(D6:D12)</f>
        <v>142865.55657000002</v>
      </c>
      <c r="E5" s="17">
        <f>SUM(E6:E12)</f>
        <v>373.95455744985702</v>
      </c>
      <c r="F5" s="17">
        <f>SUM(F6:F12)</f>
        <v>4716.0622427515073</v>
      </c>
      <c r="G5" s="18"/>
      <c r="H5" s="17"/>
      <c r="I5" s="17"/>
      <c r="J5" s="17">
        <f>SUM(J6:J12)</f>
        <v>0</v>
      </c>
      <c r="K5" s="17"/>
      <c r="L5" s="17"/>
      <c r="M5" s="17"/>
      <c r="N5" s="17">
        <f>SUM(N6:N12)</f>
        <v>2438.6399590451388</v>
      </c>
      <c r="O5" s="17">
        <f>B38*B39*B40</f>
        <v>3.1266666666666669</v>
      </c>
      <c r="P5" s="17">
        <f>B46*B47*B48/1000-B46*B47*B48/1000/B49</f>
        <v>0</v>
      </c>
      <c r="R5" s="32"/>
    </row>
    <row r="6" spans="1:18">
      <c r="A6" s="32" t="s">
        <v>53</v>
      </c>
      <c r="B6" s="37">
        <f>B26</f>
        <v>8863.2960000000003</v>
      </c>
      <c r="C6" s="33"/>
      <c r="D6" s="37">
        <f>IF(ISERROR(TER_kantoor_gas_kWh/1000),0,TER_kantoor_gas_kWh/1000)*0.902</f>
        <v>9162.2165359999999</v>
      </c>
      <c r="E6" s="33">
        <f>$C$26*'E Balans VL '!I12/100/3.6*1000000</f>
        <v>25.678268941914535</v>
      </c>
      <c r="F6" s="33">
        <f>$C$26*('E Balans VL '!L12+'E Balans VL '!N12)/100/3.6*1000000</f>
        <v>1003.1298336491037</v>
      </c>
      <c r="G6" s="34"/>
      <c r="H6" s="33"/>
      <c r="I6" s="33"/>
      <c r="J6" s="33">
        <f>$C$26*('E Balans VL '!D12+'E Balans VL '!E12)/100/3.6*1000000</f>
        <v>0</v>
      </c>
      <c r="K6" s="33"/>
      <c r="L6" s="33"/>
      <c r="M6" s="33"/>
      <c r="N6" s="33">
        <f>$C$26*'E Balans VL '!Y12/100/3.6*1000000</f>
        <v>88.715062191916473</v>
      </c>
      <c r="O6" s="33"/>
      <c r="P6" s="33"/>
      <c r="R6" s="32"/>
    </row>
    <row r="7" spans="1:18">
      <c r="A7" s="32" t="s">
        <v>52</v>
      </c>
      <c r="B7" s="37">
        <f t="shared" ref="B7:B12" si="0">B27</f>
        <v>5600.2110000000002</v>
      </c>
      <c r="C7" s="33"/>
      <c r="D7" s="37">
        <f>IF(ISERROR(TER_horeca_gas_kWh/1000),0,TER_horeca_gas_kWh/1000)*0.902</f>
        <v>5123.4601220000004</v>
      </c>
      <c r="E7" s="33">
        <f>$C$27*'E Balans VL '!I9/100/3.6*1000000</f>
        <v>235.08121109970443</v>
      </c>
      <c r="F7" s="33">
        <f>$C$27*('E Balans VL '!L9+'E Balans VL '!N9)/100/3.6*1000000</f>
        <v>1203.320176492821</v>
      </c>
      <c r="G7" s="34"/>
      <c r="H7" s="33"/>
      <c r="I7" s="33"/>
      <c r="J7" s="33">
        <f>$C$27*('E Balans VL '!D9+'E Balans VL '!E9)/100/3.6*1000000</f>
        <v>0</v>
      </c>
      <c r="K7" s="33"/>
      <c r="L7" s="33"/>
      <c r="M7" s="33"/>
      <c r="N7" s="33">
        <f>$C$27*'E Balans VL '!Y9/100/3.6*1000000</f>
        <v>1.4431253990781012</v>
      </c>
      <c r="O7" s="33"/>
      <c r="P7" s="33"/>
      <c r="R7" s="32"/>
    </row>
    <row r="8" spans="1:18">
      <c r="A8" s="6" t="s">
        <v>51</v>
      </c>
      <c r="B8" s="37">
        <f t="shared" si="0"/>
        <v>9220.4760000000006</v>
      </c>
      <c r="C8" s="33"/>
      <c r="D8" s="37">
        <f>IF(ISERROR(TER_handel_gas_kWh/1000),0,TER_handel_gas_kWh/1000)*0.902</f>
        <v>112853.45489000001</v>
      </c>
      <c r="E8" s="33">
        <f>$C$28*'E Balans VL '!I13/100/3.6*1000000</f>
        <v>99.035586224029629</v>
      </c>
      <c r="F8" s="33">
        <f>$C$28*('E Balans VL '!L13+'E Balans VL '!N13)/100/3.6*1000000</f>
        <v>1193.6667593211746</v>
      </c>
      <c r="G8" s="34"/>
      <c r="H8" s="33"/>
      <c r="I8" s="33"/>
      <c r="J8" s="33">
        <f>$C$28*('E Balans VL '!D13+'E Balans VL '!E13)/100/3.6*1000000</f>
        <v>0</v>
      </c>
      <c r="K8" s="33"/>
      <c r="L8" s="33"/>
      <c r="M8" s="33"/>
      <c r="N8" s="33">
        <f>$C$28*'E Balans VL '!Y13/100/3.6*1000000</f>
        <v>74.797004771879799</v>
      </c>
      <c r="O8" s="33"/>
      <c r="P8" s="33"/>
      <c r="R8" s="32"/>
    </row>
    <row r="9" spans="1:18">
      <c r="A9" s="32" t="s">
        <v>50</v>
      </c>
      <c r="B9" s="37">
        <f t="shared" si="0"/>
        <v>3455.8519999999999</v>
      </c>
      <c r="C9" s="33"/>
      <c r="D9" s="37">
        <f>IF(ISERROR(TER_gezond_gas_kWh/1000),0,TER_gezond_gas_kWh/1000)*0.902</f>
        <v>10584.260125999999</v>
      </c>
      <c r="E9" s="33">
        <f>$C$29*'E Balans VL '!I10/100/3.6*1000000</f>
        <v>2.7510817105191214</v>
      </c>
      <c r="F9" s="33">
        <f>$C$29*('E Balans VL '!L10+'E Balans VL '!N10)/100/3.6*1000000</f>
        <v>420.10875215965649</v>
      </c>
      <c r="G9" s="34"/>
      <c r="H9" s="33"/>
      <c r="I9" s="33"/>
      <c r="J9" s="33">
        <f>$C$29*('E Balans VL '!D10+'E Balans VL '!E10)/100/3.6*1000000</f>
        <v>0</v>
      </c>
      <c r="K9" s="33"/>
      <c r="L9" s="33"/>
      <c r="M9" s="33"/>
      <c r="N9" s="33">
        <f>$C$29*'E Balans VL '!Y10/100/3.6*1000000</f>
        <v>27.915456888168794</v>
      </c>
      <c r="O9" s="33"/>
      <c r="P9" s="33"/>
      <c r="R9" s="32"/>
    </row>
    <row r="10" spans="1:18">
      <c r="A10" s="32" t="s">
        <v>49</v>
      </c>
      <c r="B10" s="37">
        <f t="shared" si="0"/>
        <v>3187.1840000000002</v>
      </c>
      <c r="C10" s="33"/>
      <c r="D10" s="37">
        <f>IF(ISERROR(TER_ander_gas_kWh/1000),0,TER_ander_gas_kWh/1000)*0.902</f>
        <v>2833.7313180000001</v>
      </c>
      <c r="E10" s="33">
        <f>$C$30*'E Balans VL '!I14/100/3.6*1000000</f>
        <v>10.922647001184776</v>
      </c>
      <c r="F10" s="33">
        <f>$C$30*('E Balans VL '!L14+'E Balans VL '!N14)/100/3.6*1000000</f>
        <v>711.88739369828897</v>
      </c>
      <c r="G10" s="34"/>
      <c r="H10" s="33"/>
      <c r="I10" s="33"/>
      <c r="J10" s="33">
        <f>$C$30*('E Balans VL '!D14+'E Balans VL '!E14)/100/3.6*1000000</f>
        <v>0</v>
      </c>
      <c r="K10" s="33"/>
      <c r="L10" s="33"/>
      <c r="M10" s="33"/>
      <c r="N10" s="33">
        <f>$C$30*'E Balans VL '!Y14/100/3.6*1000000</f>
        <v>2245.0698208458493</v>
      </c>
      <c r="O10" s="33"/>
      <c r="P10" s="33"/>
      <c r="R10" s="32"/>
    </row>
    <row r="11" spans="1:18">
      <c r="A11" s="32" t="s">
        <v>54</v>
      </c>
      <c r="B11" s="37">
        <f t="shared" si="0"/>
        <v>702.71100000000001</v>
      </c>
      <c r="C11" s="33"/>
      <c r="D11" s="37">
        <f>IF(ISERROR(TER_onderwijs_gas_kWh/1000),0,TER_onderwijs_gas_kWh/1000)*0.902</f>
        <v>2308.4335780000001</v>
      </c>
      <c r="E11" s="33">
        <f>$C$31*'E Balans VL '!I11/100/3.6*1000000</f>
        <v>0.48576247250443616</v>
      </c>
      <c r="F11" s="33">
        <f>$C$31*('E Balans VL '!L11+'E Balans VL '!N11)/100/3.6*1000000</f>
        <v>183.94932743046255</v>
      </c>
      <c r="G11" s="34"/>
      <c r="H11" s="33"/>
      <c r="I11" s="33"/>
      <c r="J11" s="33">
        <f>$C$31*('E Balans VL '!D11+'E Balans VL '!E11)/100/3.6*1000000</f>
        <v>0</v>
      </c>
      <c r="K11" s="33"/>
      <c r="L11" s="33"/>
      <c r="M11" s="33"/>
      <c r="N11" s="33">
        <f>$C$31*'E Balans VL '!Y11/100/3.6*1000000</f>
        <v>0.69948894824599039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24.75</v>
      </c>
      <c r="C13" s="247">
        <f ca="1">'lokale energieproductie'!O38+'lokale energieproductie'!O31</f>
        <v>35.357142857142861</v>
      </c>
      <c r="D13" s="308">
        <f ca="1">('lokale energieproductie'!P31+'lokale energieproductie'!P38)*(-1)</f>
        <v>-70.714285714285722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31054.48</v>
      </c>
      <c r="C16" s="21">
        <f t="shared" ca="1" si="1"/>
        <v>35.357142857142861</v>
      </c>
      <c r="D16" s="21">
        <f t="shared" ca="1" si="1"/>
        <v>142794.84228428573</v>
      </c>
      <c r="E16" s="21">
        <f t="shared" si="1"/>
        <v>373.95455744985702</v>
      </c>
      <c r="F16" s="21">
        <f t="shared" ca="1" si="1"/>
        <v>4716.0622427515073</v>
      </c>
      <c r="G16" s="21">
        <f t="shared" si="1"/>
        <v>0</v>
      </c>
      <c r="H16" s="21">
        <f t="shared" si="1"/>
        <v>0</v>
      </c>
      <c r="I16" s="21">
        <f t="shared" si="1"/>
        <v>0</v>
      </c>
      <c r="J16" s="21">
        <f t="shared" si="1"/>
        <v>0</v>
      </c>
      <c r="K16" s="21">
        <f t="shared" si="1"/>
        <v>0</v>
      </c>
      <c r="L16" s="21">
        <f t="shared" ca="1" si="1"/>
        <v>0</v>
      </c>
      <c r="M16" s="21">
        <f t="shared" si="1"/>
        <v>0</v>
      </c>
      <c r="N16" s="21">
        <f t="shared" ca="1" si="1"/>
        <v>2438.6399590451388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0.17633716109655906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5476.0588425298711</v>
      </c>
      <c r="C20" s="23">
        <f t="shared" ref="C20:P20" ca="1" si="2">C16*C18</f>
        <v>8.4025210084033635</v>
      </c>
      <c r="D20" s="23">
        <f t="shared" ca="1" si="2"/>
        <v>28844.558141425718</v>
      </c>
      <c r="E20" s="23">
        <f t="shared" si="2"/>
        <v>84.887684541117551</v>
      </c>
      <c r="F20" s="23">
        <f t="shared" ca="1" si="2"/>
        <v>1259.1886188146525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8863.2960000000003</v>
      </c>
      <c r="C26" s="39">
        <f>IF(ISERROR(B26*3.6/1000000/'E Balans VL '!Z12*100),0,B26*3.6/1000000/'E Balans VL '!Z12*100)</f>
        <v>0.19469254363628197</v>
      </c>
      <c r="D26" s="237" t="s">
        <v>691</v>
      </c>
      <c r="F26" s="6"/>
    </row>
    <row r="27" spans="1:18">
      <c r="A27" s="231" t="s">
        <v>52</v>
      </c>
      <c r="B27" s="33">
        <f>IF(ISERROR(TER_horeca_ele_kWh/1000),0,TER_horeca_ele_kWh/1000)</f>
        <v>5600.2110000000002</v>
      </c>
      <c r="C27" s="39">
        <f>IF(ISERROR(B27*3.6/1000000/'E Balans VL '!Z9*100),0,B27*3.6/1000000/'E Balans VL '!Z9*100)</f>
        <v>0.45003277741258463</v>
      </c>
      <c r="D27" s="237" t="s">
        <v>691</v>
      </c>
      <c r="F27" s="6"/>
    </row>
    <row r="28" spans="1:18">
      <c r="A28" s="171" t="s">
        <v>51</v>
      </c>
      <c r="B28" s="33">
        <f>IF(ISERROR(TER_handel_ele_kWh/1000),0,TER_handel_ele_kWh/1000)</f>
        <v>9220.4760000000006</v>
      </c>
      <c r="C28" s="39">
        <f>IF(ISERROR(B28*3.6/1000000/'E Balans VL '!Z13*100),0,B28*3.6/1000000/'E Balans VL '!Z13*100)</f>
        <v>0.27264303376021576</v>
      </c>
      <c r="D28" s="237" t="s">
        <v>691</v>
      </c>
      <c r="F28" s="6"/>
    </row>
    <row r="29" spans="1:18">
      <c r="A29" s="231" t="s">
        <v>50</v>
      </c>
      <c r="B29" s="33">
        <f>IF(ISERROR(TER_gezond_ele_kWh/1000),0,TER_gezond_ele_kWh/1000)</f>
        <v>3455.8519999999999</v>
      </c>
      <c r="C29" s="39">
        <f>IF(ISERROR(B29*3.6/1000000/'E Balans VL '!Z10*100),0,B29*3.6/1000000/'E Balans VL '!Z10*100)</f>
        <v>0.38938529816631973</v>
      </c>
      <c r="D29" s="237" t="s">
        <v>691</v>
      </c>
      <c r="F29" s="6"/>
    </row>
    <row r="30" spans="1:18">
      <c r="A30" s="231" t="s">
        <v>49</v>
      </c>
      <c r="B30" s="33">
        <f>IF(ISERROR(TER_ander_ele_kWh/1000),0,TER_ander_ele_kWh/1000)</f>
        <v>3187.1840000000002</v>
      </c>
      <c r="C30" s="39">
        <f>IF(ISERROR(B30*3.6/1000000/'E Balans VL '!Z14*100),0,B30*3.6/1000000/'E Balans VL '!Z14*100)</f>
        <v>0.24104127767504957</v>
      </c>
      <c r="D30" s="237" t="s">
        <v>691</v>
      </c>
      <c r="F30" s="6"/>
    </row>
    <row r="31" spans="1:18">
      <c r="A31" s="231" t="s">
        <v>54</v>
      </c>
      <c r="B31" s="33">
        <f>IF(ISERROR(TER_onderwijs_ele_kWh/1000),0,TER_onderwijs_ele_kWh/1000)</f>
        <v>702.71100000000001</v>
      </c>
      <c r="C31" s="39">
        <f>IF(ISERROR(B31*3.6/1000000/'E Balans VL '!Z11*100),0,B31*3.6/1000000/'E Balans VL '!Z11*100)</f>
        <v>0.14586649086444767</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38597.525999999998</v>
      </c>
      <c r="C5" s="17">
        <f>IF(ISERROR('Eigen informatie GS &amp; warmtenet'!B59),0,'Eigen informatie GS &amp; warmtenet'!B59)</f>
        <v>0</v>
      </c>
      <c r="D5" s="30">
        <f>SUM(D6:D15)</f>
        <v>33154.870825999998</v>
      </c>
      <c r="E5" s="17">
        <f>SUM(E6:E15)</f>
        <v>2473.5044574953376</v>
      </c>
      <c r="F5" s="17">
        <f>SUM(F6:F15)</f>
        <v>10384.338296522803</v>
      </c>
      <c r="G5" s="18"/>
      <c r="H5" s="17"/>
      <c r="I5" s="17"/>
      <c r="J5" s="17">
        <f>SUM(J6:J15)</f>
        <v>117.26378861525454</v>
      </c>
      <c r="K5" s="17"/>
      <c r="L5" s="17"/>
      <c r="M5" s="17"/>
      <c r="N5" s="17">
        <f>SUM(N6:N15)</f>
        <v>1884.0251261651092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308.92399999999998</v>
      </c>
      <c r="C8" s="33"/>
      <c r="D8" s="37">
        <f>IF( ISERROR(IND_metaal_Gas_kWH/1000),0,IND_metaal_Gas_kWH/1000)*0.902</f>
        <v>223.302728</v>
      </c>
      <c r="E8" s="33">
        <f>C30*'E Balans VL '!I18/100/3.6*1000000</f>
        <v>7.7312865091634304</v>
      </c>
      <c r="F8" s="33">
        <f>C30*'E Balans VL '!L18/100/3.6*1000000+C30*'E Balans VL '!N18/100/3.6*1000000</f>
        <v>96.818318267003662</v>
      </c>
      <c r="G8" s="34"/>
      <c r="H8" s="33"/>
      <c r="I8" s="33"/>
      <c r="J8" s="40">
        <f>C30*'E Balans VL '!D18/100/3.6*1000000+C30*'E Balans VL '!E18/100/3.6*1000000</f>
        <v>0</v>
      </c>
      <c r="K8" s="33"/>
      <c r="L8" s="33"/>
      <c r="M8" s="33"/>
      <c r="N8" s="33">
        <f>C30*'E Balans VL '!Y18/100/3.6*1000000</f>
        <v>7.7609726076911931</v>
      </c>
      <c r="O8" s="33"/>
      <c r="P8" s="33"/>
      <c r="R8" s="32"/>
    </row>
    <row r="9" spans="1:18">
      <c r="A9" s="6" t="s">
        <v>32</v>
      </c>
      <c r="B9" s="37">
        <f t="shared" si="0"/>
        <v>5202.12</v>
      </c>
      <c r="C9" s="33"/>
      <c r="D9" s="37">
        <f>IF( ISERROR(IND_andere_gas_kWh/1000),0,IND_andere_gas_kWh/1000)*0.902</f>
        <v>3113.4198700000002</v>
      </c>
      <c r="E9" s="33">
        <f>C31*'E Balans VL '!I19/100/3.6*1000000</f>
        <v>1430.3696347589923</v>
      </c>
      <c r="F9" s="33">
        <f>C31*'E Balans VL '!L19/100/3.6*1000000+C31*'E Balans VL '!N19/100/3.6*1000000</f>
        <v>4100.1757938739456</v>
      </c>
      <c r="G9" s="34"/>
      <c r="H9" s="33"/>
      <c r="I9" s="33"/>
      <c r="J9" s="40">
        <f>C31*'E Balans VL '!D19/100/3.6*1000000+C31*'E Balans VL '!E19/100/3.6*1000000</f>
        <v>0</v>
      </c>
      <c r="K9" s="33"/>
      <c r="L9" s="33"/>
      <c r="M9" s="33"/>
      <c r="N9" s="33">
        <f>C31*'E Balans VL '!Y19/100/3.6*1000000</f>
        <v>419.08606534438974</v>
      </c>
      <c r="O9" s="33"/>
      <c r="P9" s="33"/>
      <c r="R9" s="32"/>
    </row>
    <row r="10" spans="1:18">
      <c r="A10" s="6" t="s">
        <v>40</v>
      </c>
      <c r="B10" s="37">
        <f t="shared" si="0"/>
        <v>715.85699999999997</v>
      </c>
      <c r="C10" s="33"/>
      <c r="D10" s="37">
        <f>IF( ISERROR(IND_voed_gas_kWh/1000),0,IND_voed_gas_kWh/1000)*0.902</f>
        <v>604.120814</v>
      </c>
      <c r="E10" s="33">
        <f>C32*'E Balans VL '!I20/100/3.6*1000000</f>
        <v>7.297767747128427</v>
      </c>
      <c r="F10" s="33">
        <f>C32*'E Balans VL '!L20/100/3.6*1000000+C32*'E Balans VL '!N20/100/3.6*1000000</f>
        <v>1352.2493957466584</v>
      </c>
      <c r="G10" s="34"/>
      <c r="H10" s="33"/>
      <c r="I10" s="33"/>
      <c r="J10" s="40">
        <f>C32*'E Balans VL '!D20/100/3.6*1000000+C32*'E Balans VL '!E20/100/3.6*1000000</f>
        <v>17.1328003047085</v>
      </c>
      <c r="K10" s="33"/>
      <c r="L10" s="33"/>
      <c r="M10" s="33"/>
      <c r="N10" s="33">
        <f>C32*'E Balans VL '!Y20/100/3.6*1000000</f>
        <v>377.33909561527582</v>
      </c>
      <c r="O10" s="33"/>
      <c r="P10" s="33"/>
      <c r="R10" s="32"/>
    </row>
    <row r="11" spans="1:18">
      <c r="A11" s="6" t="s">
        <v>39</v>
      </c>
      <c r="B11" s="37">
        <f t="shared" si="0"/>
        <v>138.958</v>
      </c>
      <c r="C11" s="33"/>
      <c r="D11" s="37">
        <f>IF( ISERROR(IND_textiel_gas_kWh/1000),0,IND_textiel_gas_kWh/1000)*0.902</f>
        <v>604.44824000000006</v>
      </c>
      <c r="E11" s="33">
        <f>C33*'E Balans VL '!I21/100/3.6*1000000</f>
        <v>0.36830668068570394</v>
      </c>
      <c r="F11" s="33">
        <f>C33*'E Balans VL '!L21/100/3.6*1000000+C33*'E Balans VL '!N21/100/3.6*1000000</f>
        <v>6.2060076258508161</v>
      </c>
      <c r="G11" s="34"/>
      <c r="H11" s="33"/>
      <c r="I11" s="33"/>
      <c r="J11" s="40">
        <f>C33*'E Balans VL '!D21/100/3.6*1000000+C33*'E Balans VL '!E21/100/3.6*1000000</f>
        <v>0</v>
      </c>
      <c r="K11" s="33"/>
      <c r="L11" s="33"/>
      <c r="M11" s="33"/>
      <c r="N11" s="33">
        <f>C33*'E Balans VL '!Y21/100/3.6*1000000</f>
        <v>1.3095798169699866</v>
      </c>
      <c r="O11" s="33"/>
      <c r="P11" s="33"/>
      <c r="R11" s="32"/>
    </row>
    <row r="12" spans="1:18">
      <c r="A12" s="6" t="s">
        <v>36</v>
      </c>
      <c r="B12" s="37">
        <f t="shared" si="0"/>
        <v>12509.26</v>
      </c>
      <c r="C12" s="33"/>
      <c r="D12" s="37">
        <f>IF( ISERROR(IND_min_gas_kWh/1000),0,IND_min_gas_kWh/1000)*0.902</f>
        <v>342.99452000000002</v>
      </c>
      <c r="E12" s="33">
        <f>C34*'E Balans VL '!I22/100/3.6*1000000</f>
        <v>37.884889939550959</v>
      </c>
      <c r="F12" s="33">
        <f>C34*'E Balans VL '!L22/100/3.6*1000000+C34*'E Balans VL '!N22/100/3.6*1000000</f>
        <v>390.92512966246881</v>
      </c>
      <c r="G12" s="34"/>
      <c r="H12" s="33"/>
      <c r="I12" s="33"/>
      <c r="J12" s="40">
        <f>C34*'E Balans VL '!D22/100/3.6*1000000+C34*'E Balans VL '!E22/100/3.6*1000000</f>
        <v>18.548455667371623</v>
      </c>
      <c r="K12" s="33"/>
      <c r="L12" s="33"/>
      <c r="M12" s="33"/>
      <c r="N12" s="33">
        <f>C34*'E Balans VL '!Y22/100/3.6*1000000</f>
        <v>0</v>
      </c>
      <c r="O12" s="33"/>
      <c r="P12" s="33"/>
      <c r="R12" s="32"/>
    </row>
    <row r="13" spans="1:18">
      <c r="A13" s="6" t="s">
        <v>38</v>
      </c>
      <c r="B13" s="37">
        <f t="shared" si="0"/>
        <v>276.37400000000002</v>
      </c>
      <c r="C13" s="33"/>
      <c r="D13" s="37">
        <f>IF( ISERROR(IND_papier_gas_kWh/1000),0,IND_papier_gas_kWh/1000)*0.902</f>
        <v>104.51744600000001</v>
      </c>
      <c r="E13" s="33">
        <f>C35*'E Balans VL '!I23/100/3.6*1000000</f>
        <v>0.57238920879580057</v>
      </c>
      <c r="F13" s="33">
        <f>C35*'E Balans VL '!L23/100/3.6*1000000+C35*'E Balans VL '!N23/100/3.6*1000000</f>
        <v>5.4810889187637359</v>
      </c>
      <c r="G13" s="34"/>
      <c r="H13" s="33"/>
      <c r="I13" s="33"/>
      <c r="J13" s="40">
        <f>C35*'E Balans VL '!D23/100/3.6*1000000+C35*'E Balans VL '!E23/100/3.6*1000000</f>
        <v>0</v>
      </c>
      <c r="K13" s="33"/>
      <c r="L13" s="33"/>
      <c r="M13" s="33"/>
      <c r="N13" s="33">
        <f>C35*'E Balans VL '!Y23/100/3.6*1000000</f>
        <v>19.167933845336794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19446.032999999999</v>
      </c>
      <c r="C15" s="33"/>
      <c r="D15" s="37">
        <f>IF( ISERROR(IND_rest_gas_kWh/1000),0,IND_rest_gas_kWh/1000)*0.902</f>
        <v>28162.067208</v>
      </c>
      <c r="E15" s="33">
        <f>C37*'E Balans VL '!I15/100/3.6*1000000</f>
        <v>989.28018265102116</v>
      </c>
      <c r="F15" s="33">
        <f>C37*'E Balans VL '!L15/100/3.6*1000000+C37*'E Balans VL '!N15/100/3.6*1000000</f>
        <v>4432.4825624281111</v>
      </c>
      <c r="G15" s="34"/>
      <c r="H15" s="33"/>
      <c r="I15" s="33"/>
      <c r="J15" s="40">
        <f>C37*'E Balans VL '!D15/100/3.6*1000000+C37*'E Balans VL '!E15/100/3.6*1000000</f>
        <v>81.582532643174417</v>
      </c>
      <c r="K15" s="33"/>
      <c r="L15" s="33"/>
      <c r="M15" s="33"/>
      <c r="N15" s="33">
        <f>C37*'E Balans VL '!Y15/100/3.6*1000000</f>
        <v>1059.3614789354456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38597.525999999998</v>
      </c>
      <c r="C18" s="21">
        <f>C5+C16</f>
        <v>0</v>
      </c>
      <c r="D18" s="21">
        <f>MAX((D5+D16),0)</f>
        <v>33154.870825999998</v>
      </c>
      <c r="E18" s="21">
        <f>MAX((E5+E16),0)</f>
        <v>2473.5044574953376</v>
      </c>
      <c r="F18" s="21">
        <f>MAX((F5+F16),0)</f>
        <v>10384.338296522803</v>
      </c>
      <c r="G18" s="21"/>
      <c r="H18" s="21"/>
      <c r="I18" s="21"/>
      <c r="J18" s="21">
        <f>MAX((J5+J16),0)</f>
        <v>117.26378861525454</v>
      </c>
      <c r="K18" s="21"/>
      <c r="L18" s="21">
        <f>MAX((L5+L16),0)</f>
        <v>0</v>
      </c>
      <c r="M18" s="21"/>
      <c r="N18" s="21">
        <f>MAX((N5+N16),0)</f>
        <v>1884.0251261651092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0.17633716109655906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6806.1781601906268</v>
      </c>
      <c r="C22" s="23">
        <f ca="1">C18*C20</f>
        <v>0</v>
      </c>
      <c r="D22" s="23">
        <f>D18*D20</f>
        <v>6697.2839068519997</v>
      </c>
      <c r="E22" s="23">
        <f>E18*E20</f>
        <v>561.48551185144163</v>
      </c>
      <c r="F22" s="23">
        <f>F18*F20</f>
        <v>2772.6183251715884</v>
      </c>
      <c r="G22" s="23"/>
      <c r="H22" s="23"/>
      <c r="I22" s="23"/>
      <c r="J22" s="23">
        <f>J18*J20</f>
        <v>41.511381169800103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308.92399999999998</v>
      </c>
      <c r="C30" s="39">
        <f>IF(ISERROR(B30*3.6/1000000/'E Balans VL '!Z18*100),0,B30*3.6/1000000/'E Balans VL '!Z18*100)</f>
        <v>4.3239064993967923E-2</v>
      </c>
      <c r="D30" s="237" t="s">
        <v>691</v>
      </c>
    </row>
    <row r="31" spans="1:18">
      <c r="A31" s="6" t="s">
        <v>32</v>
      </c>
      <c r="B31" s="37">
        <f>IF( ISERROR(IND_ander_ele_kWh/1000),0,IND_ander_ele_kWh/1000)</f>
        <v>5202.12</v>
      </c>
      <c r="C31" s="39">
        <f>IF(ISERROR(B31*3.6/1000000/'E Balans VL '!Z19*100),0,B31*3.6/1000000/'E Balans VL '!Z19*100)</f>
        <v>0.22769594849623895</v>
      </c>
      <c r="D31" s="237" t="s">
        <v>691</v>
      </c>
    </row>
    <row r="32" spans="1:18">
      <c r="A32" s="171" t="s">
        <v>40</v>
      </c>
      <c r="B32" s="37">
        <f>IF( ISERROR(IND_voed_ele_kWh/1000),0,IND_voed_ele_kWh/1000)</f>
        <v>715.85699999999997</v>
      </c>
      <c r="C32" s="39">
        <f>IF(ISERROR(B32*3.6/1000000/'E Balans VL '!Z20*100),0,B32*3.6/1000000/'E Balans VL '!Z20*100)</f>
        <v>0.17722242076161693</v>
      </c>
      <c r="D32" s="237" t="s">
        <v>691</v>
      </c>
    </row>
    <row r="33" spans="1:5">
      <c r="A33" s="171" t="s">
        <v>39</v>
      </c>
      <c r="B33" s="37">
        <f>IF( ISERROR(IND_textiel_ele_kWh/1000),0,IND_textiel_ele_kWh/1000)</f>
        <v>138.958</v>
      </c>
      <c r="C33" s="39">
        <f>IF(ISERROR(B33*3.6/1000000/'E Balans VL '!Z21*100),0,B33*3.6/1000000/'E Balans VL '!Z21*100)</f>
        <v>1.5658118832278665E-2</v>
      </c>
      <c r="D33" s="237" t="s">
        <v>691</v>
      </c>
    </row>
    <row r="34" spans="1:5">
      <c r="A34" s="171" t="s">
        <v>36</v>
      </c>
      <c r="B34" s="37">
        <f>IF( ISERROR(IND_min_ele_kWh/1000),0,IND_min_ele_kWh/1000)</f>
        <v>12509.26</v>
      </c>
      <c r="C34" s="39">
        <f>IF(ISERROR(B34*3.6/1000000/'E Balans VL '!Z22*100),0,B34*3.6/1000000/'E Balans VL '!Z22*100)</f>
        <v>0.3549617637620503</v>
      </c>
      <c r="D34" s="237" t="s">
        <v>691</v>
      </c>
    </row>
    <row r="35" spans="1:5">
      <c r="A35" s="171" t="s">
        <v>38</v>
      </c>
      <c r="B35" s="37">
        <f>IF( ISERROR(IND_papier_ele_kWh/1000),0,IND_papier_ele_kWh/1000)</f>
        <v>276.37400000000002</v>
      </c>
      <c r="C35" s="39">
        <f>IF(ISERROR(B35*3.6/1000000/'E Balans VL '!Z22*100),0,B35*3.6/1000000/'E Balans VL '!Z22*100)</f>
        <v>7.842366574679311E-3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19446.032999999999</v>
      </c>
      <c r="C37" s="39">
        <f>IF(ISERROR(B37*3.6/1000000/'E Balans VL '!Z15*100),0,B37*3.6/1000000/'E Balans VL '!Z15*100)</f>
        <v>0.14418900539326618</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1247.8979999999999</v>
      </c>
      <c r="C5" s="17">
        <f>'Eigen informatie GS &amp; warmtenet'!B60</f>
        <v>0</v>
      </c>
      <c r="D5" s="30">
        <f>IF(ISERROR(SUM(LB_lb_gas_kWh,LB_rest_gas_kWh)/1000),0,SUM(LB_lb_gas_kWh,LB_rest_gas_kWh)/1000)*0.902</f>
        <v>2282.8068560000002</v>
      </c>
      <c r="E5" s="17">
        <f>B17*'E Balans VL '!I25/3.6*1000000/100</f>
        <v>11.55855394372702</v>
      </c>
      <c r="F5" s="17">
        <f>B17*('E Balans VL '!L25/3.6*1000000+'E Balans VL '!N25/3.6*1000000)/100</f>
        <v>3166.1549503250421</v>
      </c>
      <c r="G5" s="18"/>
      <c r="H5" s="17"/>
      <c r="I5" s="17"/>
      <c r="J5" s="17">
        <f>('E Balans VL '!D25+'E Balans VL '!E25)/3.6*1000000*landbouw!B17/100</f>
        <v>191.31668998232601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1247.8979999999999</v>
      </c>
      <c r="C8" s="21">
        <f>C5+C6</f>
        <v>0</v>
      </c>
      <c r="D8" s="21">
        <f>MAX((D5+D6),0)</f>
        <v>2282.8068560000002</v>
      </c>
      <c r="E8" s="21">
        <f>MAX((E5+E6),0)</f>
        <v>11.55855394372702</v>
      </c>
      <c r="F8" s="21">
        <f>MAX((F5+F6),0)</f>
        <v>3166.1549503250421</v>
      </c>
      <c r="G8" s="21"/>
      <c r="H8" s="21"/>
      <c r="I8" s="21"/>
      <c r="J8" s="21">
        <f>MAX((J5+J6),0)</f>
        <v>191.31668998232601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0.17633716109655906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220.05079065807385</v>
      </c>
      <c r="C12" s="23">
        <f ca="1">C8*C10</f>
        <v>0</v>
      </c>
      <c r="D12" s="23">
        <f>D8*D10</f>
        <v>461.12698491200007</v>
      </c>
      <c r="E12" s="23">
        <f>E8*E10</f>
        <v>2.6237917452260335</v>
      </c>
      <c r="F12" s="23">
        <f>F8*F10</f>
        <v>845.36337173678635</v>
      </c>
      <c r="G12" s="23"/>
      <c r="H12" s="23"/>
      <c r="I12" s="23"/>
      <c r="J12" s="23">
        <f>J8*J10</f>
        <v>67.726108253743405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0.17742463558881164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103.45643277361938</v>
      </c>
      <c r="C26" s="247">
        <f>B26*'GWP N2O_CH4'!B5</f>
        <v>2172.5850882460072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40.928877686472362</v>
      </c>
      <c r="C27" s="247">
        <f>B27*'GWP N2O_CH4'!B5</f>
        <v>859.50643141591956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1.5817132766117288</v>
      </c>
      <c r="C28" s="247">
        <f>B28*'GWP N2O_CH4'!B4</f>
        <v>490.3311157496359</v>
      </c>
      <c r="D28" s="50"/>
    </row>
    <row r="29" spans="1:4">
      <c r="A29" s="41" t="s">
        <v>276</v>
      </c>
      <c r="B29" s="247">
        <f>B34*'ha_N2O bodem landbouw'!B4</f>
        <v>10.293769014501482</v>
      </c>
      <c r="C29" s="247">
        <f>B29*'GWP N2O_CH4'!B4</f>
        <v>3191.0683944954594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2.3087110414291142E-3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7.3547916258512197E-5</v>
      </c>
      <c r="C5" s="438" t="s">
        <v>210</v>
      </c>
      <c r="D5" s="423">
        <f>SUM(D6:D11)</f>
        <v>1.4733105896174909E-4</v>
      </c>
      <c r="E5" s="423">
        <f>SUM(E6:E11)</f>
        <v>1.4032545109338782E-3</v>
      </c>
      <c r="F5" s="436" t="s">
        <v>210</v>
      </c>
      <c r="G5" s="423">
        <f>SUM(G6:G11)</f>
        <v>0.41060512758537998</v>
      </c>
      <c r="H5" s="423">
        <f>SUM(H6:H11)</f>
        <v>8.9263111645897578E-2</v>
      </c>
      <c r="I5" s="438" t="s">
        <v>210</v>
      </c>
      <c r="J5" s="438" t="s">
        <v>210</v>
      </c>
      <c r="K5" s="438" t="s">
        <v>210</v>
      </c>
      <c r="L5" s="438" t="s">
        <v>210</v>
      </c>
      <c r="M5" s="423">
        <f>SUM(M6:M11)</f>
        <v>2.6528496591474469E-2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5.8270312889200202E-5</v>
      </c>
      <c r="C6" s="424"/>
      <c r="D6" s="866">
        <f>vkm_GW_PW*SUMIFS(TableVerdeelsleutelVkm[CNG],TableVerdeelsleutelVkm[Voertuigtype],"Lichte voertuigen")*SUMIFS(TableECFTransport[EnergieConsumptieFactor (PJ per km)],TableECFTransport[Index],CONCATENATE($A6,"_CNG_CNG"))</f>
        <v>1.0168079206433529E-4</v>
      </c>
      <c r="E6" s="866">
        <f>vkm_GW_PW*SUMIFS(TableVerdeelsleutelVkm[LPG],TableVerdeelsleutelVkm[Voertuigtype],"Lichte voertuigen")*SUMIFS(TableECFTransport[EnergieConsumptieFactor (PJ per km)],TableECFTransport[Index],CONCATENATE($A6,"_LPG_LPG"))</f>
        <v>9.8482845459704673E-4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0.23145163270756275</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6.226873110517471E-2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1.5318281462821135E-2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8.1041988622109012E-2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1.5716617599632122E-6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4.6986312839464245E-3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1.5277603369311999E-5</v>
      </c>
      <c r="C8" s="424"/>
      <c r="D8" s="426">
        <f>vkm_NGW_PW*SUMIFS(TableVerdeelsleutelVkm[CNG],TableVerdeelsleutelVkm[Voertuigtype],"Lichte voertuigen")*SUMIFS(TableECFTransport[EnergieConsumptieFactor (PJ per km)],TableECFTransport[Index],CONCATENATE($A8,"_CNG_CNG"))</f>
        <v>4.5650266897413802E-5</v>
      </c>
      <c r="E8" s="426">
        <f>vkm_NGW_PW*SUMIFS(TableVerdeelsleutelVkm[LPG],TableVerdeelsleutelVkm[Voertuigtype],"Lichte voertuigen")*SUMIFS(TableECFTransport[EnergieConsumptieFactor (PJ per km)],TableECFTransport[Index],CONCATENATE($A8,"_LPG_LPG"))</f>
        <v>4.1842605633683153E-4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9.2305542789166931E-2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2.6992669409350786E-2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6.1749663890779422E-3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5.8059634665413064E-3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1.3946961212056078E-7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3.3661745562896462E-4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20.429976738475609</v>
      </c>
      <c r="C14" s="21"/>
      <c r="D14" s="21">
        <f t="shared" ref="D14:M14" si="0">((D5)*10^9/3600)+D12</f>
        <v>40.92529415604141</v>
      </c>
      <c r="E14" s="21">
        <f t="shared" si="0"/>
        <v>389.79291970385503</v>
      </c>
      <c r="F14" s="21"/>
      <c r="G14" s="21">
        <f t="shared" si="0"/>
        <v>114056.97988482777</v>
      </c>
      <c r="H14" s="21">
        <f t="shared" si="0"/>
        <v>24795.308790527106</v>
      </c>
      <c r="I14" s="21"/>
      <c r="J14" s="21"/>
      <c r="K14" s="21"/>
      <c r="L14" s="21"/>
      <c r="M14" s="21">
        <f t="shared" si="0"/>
        <v>7369.0268309651301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0.17633716109655906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3.6025640993315275</v>
      </c>
      <c r="C18" s="23"/>
      <c r="D18" s="23">
        <f t="shared" ref="D18:M18" si="1">D14*D16</f>
        <v>8.2669094195203652</v>
      </c>
      <c r="E18" s="23">
        <f t="shared" si="1"/>
        <v>88.482992772775091</v>
      </c>
      <c r="F18" s="23"/>
      <c r="G18" s="23">
        <f t="shared" si="1"/>
        <v>30453.213629249018</v>
      </c>
      <c r="H18" s="23">
        <f t="shared" si="1"/>
        <v>6174.0318888412494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8.5404785351064841E-3</v>
      </c>
      <c r="H50" s="319">
        <f t="shared" si="2"/>
        <v>0</v>
      </c>
      <c r="I50" s="319">
        <f t="shared" si="2"/>
        <v>0</v>
      </c>
      <c r="J50" s="319">
        <f t="shared" si="2"/>
        <v>0</v>
      </c>
      <c r="K50" s="319">
        <f t="shared" si="2"/>
        <v>0</v>
      </c>
      <c r="L50" s="319">
        <f t="shared" si="2"/>
        <v>0</v>
      </c>
      <c r="M50" s="319">
        <f t="shared" si="2"/>
        <v>4.8814775834479064E-4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8.5404785351064841E-3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4.8814775834479064E-4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2372.35514864069</v>
      </c>
      <c r="H54" s="21">
        <f t="shared" si="3"/>
        <v>0</v>
      </c>
      <c r="I54" s="21">
        <f t="shared" si="3"/>
        <v>0</v>
      </c>
      <c r="J54" s="21">
        <f t="shared" si="3"/>
        <v>0</v>
      </c>
      <c r="K54" s="21">
        <f t="shared" si="3"/>
        <v>0</v>
      </c>
      <c r="L54" s="21">
        <f t="shared" si="3"/>
        <v>0</v>
      </c>
      <c r="M54" s="21">
        <f t="shared" si="3"/>
        <v>135.59659954021964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0.17633716109655906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633.41882468706422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32702.345000000001</v>
      </c>
      <c r="D10" s="991">
        <f ca="1">tertiair!C16</f>
        <v>35.357142857142861</v>
      </c>
      <c r="E10" s="991">
        <f ca="1">tertiair!D16</f>
        <v>142794.84228428573</v>
      </c>
      <c r="F10" s="991">
        <f>tertiair!E16</f>
        <v>373.95455744985702</v>
      </c>
      <c r="G10" s="991">
        <f ca="1">tertiair!F16</f>
        <v>4716.0622427515073</v>
      </c>
      <c r="H10" s="991">
        <f>tertiair!G16</f>
        <v>0</v>
      </c>
      <c r="I10" s="991">
        <f>tertiair!H16</f>
        <v>0</v>
      </c>
      <c r="J10" s="991">
        <f>tertiair!I16</f>
        <v>0</v>
      </c>
      <c r="K10" s="991">
        <f>tertiair!J16</f>
        <v>0</v>
      </c>
      <c r="L10" s="991">
        <f>tertiair!K16</f>
        <v>0</v>
      </c>
      <c r="M10" s="991">
        <f ca="1">tertiair!L16</f>
        <v>0</v>
      </c>
      <c r="N10" s="991">
        <f>tertiair!M16</f>
        <v>0</v>
      </c>
      <c r="O10" s="991">
        <f ca="1">tertiair!N16</f>
        <v>2438.6399590451388</v>
      </c>
      <c r="P10" s="991">
        <f>tertiair!O16</f>
        <v>3.1266666666666669</v>
      </c>
      <c r="Q10" s="992">
        <f>tertiair!P16</f>
        <v>0</v>
      </c>
      <c r="R10" s="675">
        <f ca="1">SUM(C10:Q10)</f>
        <v>183064.32785305602</v>
      </c>
      <c r="S10" s="67"/>
    </row>
    <row r="11" spans="1:19" s="448" customFormat="1">
      <c r="A11" s="784" t="s">
        <v>224</v>
      </c>
      <c r="B11" s="789"/>
      <c r="C11" s="991">
        <f>huishoudens!B8</f>
        <v>47801.98372481433</v>
      </c>
      <c r="D11" s="991">
        <f>huishoudens!C8</f>
        <v>0</v>
      </c>
      <c r="E11" s="991">
        <f>huishoudens!D8</f>
        <v>109458.46128800001</v>
      </c>
      <c r="F11" s="991">
        <f>huishoudens!E8</f>
        <v>14900.655715443998</v>
      </c>
      <c r="G11" s="991">
        <f>huishoudens!F8</f>
        <v>33874.957699093793</v>
      </c>
      <c r="H11" s="991">
        <f>huishoudens!G8</f>
        <v>0</v>
      </c>
      <c r="I11" s="991">
        <f>huishoudens!H8</f>
        <v>0</v>
      </c>
      <c r="J11" s="991">
        <f>huishoudens!I8</f>
        <v>0</v>
      </c>
      <c r="K11" s="991">
        <f>huishoudens!J8</f>
        <v>0</v>
      </c>
      <c r="L11" s="991">
        <f>huishoudens!K8</f>
        <v>0</v>
      </c>
      <c r="M11" s="991">
        <f>huishoudens!L8</f>
        <v>0</v>
      </c>
      <c r="N11" s="991">
        <f>huishoudens!M8</f>
        <v>0</v>
      </c>
      <c r="O11" s="991">
        <f>huishoudens!N8</f>
        <v>10500.999198107373</v>
      </c>
      <c r="P11" s="991">
        <f>huishoudens!O8</f>
        <v>317.35666666666668</v>
      </c>
      <c r="Q11" s="992">
        <f>huishoudens!P8</f>
        <v>629.20000000000005</v>
      </c>
      <c r="R11" s="675">
        <f>SUM(C11:Q11)</f>
        <v>217483.61429212618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38597.525999999998</v>
      </c>
      <c r="D13" s="991">
        <f>industrie!C18</f>
        <v>0</v>
      </c>
      <c r="E13" s="991">
        <f>industrie!D18</f>
        <v>33154.870825999998</v>
      </c>
      <c r="F13" s="991">
        <f>industrie!E18</f>
        <v>2473.5044574953376</v>
      </c>
      <c r="G13" s="991">
        <f>industrie!F18</f>
        <v>10384.338296522803</v>
      </c>
      <c r="H13" s="991">
        <f>industrie!G18</f>
        <v>0</v>
      </c>
      <c r="I13" s="991">
        <f>industrie!H18</f>
        <v>0</v>
      </c>
      <c r="J13" s="991">
        <f>industrie!I18</f>
        <v>0</v>
      </c>
      <c r="K13" s="991">
        <f>industrie!J18</f>
        <v>117.26378861525454</v>
      </c>
      <c r="L13" s="991">
        <f>industrie!K18</f>
        <v>0</v>
      </c>
      <c r="M13" s="991">
        <f>industrie!L18</f>
        <v>0</v>
      </c>
      <c r="N13" s="991">
        <f>industrie!M18</f>
        <v>0</v>
      </c>
      <c r="O13" s="991">
        <f>industrie!N18</f>
        <v>1884.0251261651092</v>
      </c>
      <c r="P13" s="991">
        <f>industrie!O18</f>
        <v>0</v>
      </c>
      <c r="Q13" s="992">
        <f>industrie!P18</f>
        <v>0</v>
      </c>
      <c r="R13" s="675">
        <f>SUM(C13:Q13)</f>
        <v>86611.528494798506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119101.85472481433</v>
      </c>
      <c r="D16" s="707">
        <f t="shared" ref="D16:R16" ca="1" si="0">SUM(D9:D15)</f>
        <v>35.357142857142861</v>
      </c>
      <c r="E16" s="707">
        <f t="shared" ca="1" si="0"/>
        <v>285408.17439828574</v>
      </c>
      <c r="F16" s="707">
        <f t="shared" si="0"/>
        <v>17748.114730389192</v>
      </c>
      <c r="G16" s="707">
        <f t="shared" ca="1" si="0"/>
        <v>48975.358238368099</v>
      </c>
      <c r="H16" s="707">
        <f t="shared" si="0"/>
        <v>0</v>
      </c>
      <c r="I16" s="707">
        <f t="shared" si="0"/>
        <v>0</v>
      </c>
      <c r="J16" s="707">
        <f t="shared" si="0"/>
        <v>0</v>
      </c>
      <c r="K16" s="707">
        <f t="shared" si="0"/>
        <v>117.26378861525454</v>
      </c>
      <c r="L16" s="707">
        <f t="shared" si="0"/>
        <v>0</v>
      </c>
      <c r="M16" s="707">
        <f t="shared" ca="1" si="0"/>
        <v>0</v>
      </c>
      <c r="N16" s="707">
        <f t="shared" si="0"/>
        <v>0</v>
      </c>
      <c r="O16" s="707">
        <f t="shared" ca="1" si="0"/>
        <v>14823.664283317619</v>
      </c>
      <c r="P16" s="707">
        <f t="shared" si="0"/>
        <v>320.48333333333335</v>
      </c>
      <c r="Q16" s="707">
        <f t="shared" si="0"/>
        <v>629.20000000000005</v>
      </c>
      <c r="R16" s="707">
        <f t="shared" ca="1" si="0"/>
        <v>487159.47063998069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2372.35514864069</v>
      </c>
      <c r="I19" s="991">
        <f>transport!H54</f>
        <v>0</v>
      </c>
      <c r="J19" s="991">
        <f>transport!I54</f>
        <v>0</v>
      </c>
      <c r="K19" s="991">
        <f>transport!J54</f>
        <v>0</v>
      </c>
      <c r="L19" s="991">
        <f>transport!K54</f>
        <v>0</v>
      </c>
      <c r="M19" s="991">
        <f>transport!L54</f>
        <v>0</v>
      </c>
      <c r="N19" s="991">
        <f>transport!M54</f>
        <v>135.59659954021964</v>
      </c>
      <c r="O19" s="991">
        <f>transport!N54</f>
        <v>0</v>
      </c>
      <c r="P19" s="991">
        <f>transport!O54</f>
        <v>0</v>
      </c>
      <c r="Q19" s="992">
        <f>transport!P54</f>
        <v>0</v>
      </c>
      <c r="R19" s="675">
        <f>SUM(C19:Q19)</f>
        <v>2507.9517481809098</v>
      </c>
      <c r="S19" s="67"/>
    </row>
    <row r="20" spans="1:19" s="448" customFormat="1">
      <c r="A20" s="784" t="s">
        <v>306</v>
      </c>
      <c r="B20" s="789"/>
      <c r="C20" s="991">
        <f>transport!B14</f>
        <v>20.429976738475609</v>
      </c>
      <c r="D20" s="991">
        <f>transport!C14</f>
        <v>0</v>
      </c>
      <c r="E20" s="991">
        <f>transport!D14</f>
        <v>40.92529415604141</v>
      </c>
      <c r="F20" s="991">
        <f>transport!E14</f>
        <v>389.79291970385503</v>
      </c>
      <c r="G20" s="991">
        <f>transport!F14</f>
        <v>0</v>
      </c>
      <c r="H20" s="991">
        <f>transport!G14</f>
        <v>114056.97988482777</v>
      </c>
      <c r="I20" s="991">
        <f>transport!H14</f>
        <v>24795.308790527106</v>
      </c>
      <c r="J20" s="991">
        <f>transport!I14</f>
        <v>0</v>
      </c>
      <c r="K20" s="991">
        <f>transport!J14</f>
        <v>0</v>
      </c>
      <c r="L20" s="991">
        <f>transport!K14</f>
        <v>0</v>
      </c>
      <c r="M20" s="991">
        <f>transport!L14</f>
        <v>0</v>
      </c>
      <c r="N20" s="991">
        <f>transport!M14</f>
        <v>7369.0268309651301</v>
      </c>
      <c r="O20" s="991">
        <f>transport!N14</f>
        <v>0</v>
      </c>
      <c r="P20" s="991">
        <f>transport!O14</f>
        <v>0</v>
      </c>
      <c r="Q20" s="992">
        <f>transport!P14</f>
        <v>0</v>
      </c>
      <c r="R20" s="675">
        <f>SUM(C20:Q20)</f>
        <v>146672.46369691836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20.429976738475609</v>
      </c>
      <c r="D22" s="787">
        <f t="shared" ref="D22:R22" si="1">SUM(D18:D21)</f>
        <v>0</v>
      </c>
      <c r="E22" s="787">
        <f t="shared" si="1"/>
        <v>40.92529415604141</v>
      </c>
      <c r="F22" s="787">
        <f t="shared" si="1"/>
        <v>389.79291970385503</v>
      </c>
      <c r="G22" s="787">
        <f t="shared" si="1"/>
        <v>0</v>
      </c>
      <c r="H22" s="787">
        <f t="shared" si="1"/>
        <v>116429.33503346847</v>
      </c>
      <c r="I22" s="787">
        <f t="shared" si="1"/>
        <v>24795.308790527106</v>
      </c>
      <c r="J22" s="787">
        <f t="shared" si="1"/>
        <v>0</v>
      </c>
      <c r="K22" s="787">
        <f t="shared" si="1"/>
        <v>0</v>
      </c>
      <c r="L22" s="787">
        <f t="shared" si="1"/>
        <v>0</v>
      </c>
      <c r="M22" s="787">
        <f t="shared" si="1"/>
        <v>0</v>
      </c>
      <c r="N22" s="787">
        <f t="shared" si="1"/>
        <v>7504.6234305053495</v>
      </c>
      <c r="O22" s="787">
        <f t="shared" si="1"/>
        <v>0</v>
      </c>
      <c r="P22" s="787">
        <f t="shared" si="1"/>
        <v>0</v>
      </c>
      <c r="Q22" s="787">
        <f t="shared" si="1"/>
        <v>0</v>
      </c>
      <c r="R22" s="787">
        <f t="shared" si="1"/>
        <v>149180.41544509926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1247.8979999999999</v>
      </c>
      <c r="D24" s="991">
        <f>+landbouw!C8</f>
        <v>0</v>
      </c>
      <c r="E24" s="991">
        <f>+landbouw!D8</f>
        <v>2282.8068560000002</v>
      </c>
      <c r="F24" s="991">
        <f>+landbouw!E8</f>
        <v>11.55855394372702</v>
      </c>
      <c r="G24" s="991">
        <f>+landbouw!F8</f>
        <v>3166.1549503250421</v>
      </c>
      <c r="H24" s="991">
        <f>+landbouw!G8</f>
        <v>0</v>
      </c>
      <c r="I24" s="991">
        <f>+landbouw!H8</f>
        <v>0</v>
      </c>
      <c r="J24" s="991">
        <f>+landbouw!I8</f>
        <v>0</v>
      </c>
      <c r="K24" s="991">
        <f>+landbouw!J8</f>
        <v>191.31668998232601</v>
      </c>
      <c r="L24" s="991">
        <f>+landbouw!K8</f>
        <v>0</v>
      </c>
      <c r="M24" s="991">
        <f>+landbouw!L8</f>
        <v>0</v>
      </c>
      <c r="N24" s="991">
        <f>+landbouw!M8</f>
        <v>0</v>
      </c>
      <c r="O24" s="991">
        <f>+landbouw!N8</f>
        <v>0</v>
      </c>
      <c r="P24" s="991">
        <f>+landbouw!O8</f>
        <v>0</v>
      </c>
      <c r="Q24" s="992">
        <f>+landbouw!P8</f>
        <v>0</v>
      </c>
      <c r="R24" s="675">
        <f>SUM(C24:Q24)</f>
        <v>6899.7350502510963</v>
      </c>
      <c r="S24" s="67"/>
    </row>
    <row r="25" spans="1:19" s="448" customFormat="1" ht="15" thickBot="1">
      <c r="A25" s="806" t="s">
        <v>849</v>
      </c>
      <c r="B25" s="994"/>
      <c r="C25" s="995">
        <f>IF(Onbekend_ele_kWh="---",0,Onbekend_ele_kWh)/1000+IF(REST_rest_ele_kWh="---",0,REST_rest_ele_kWh)/1000</f>
        <v>2040.463</v>
      </c>
      <c r="D25" s="995"/>
      <c r="E25" s="995">
        <f>IF(onbekend_gas_kWh="---",0,onbekend_gas_kWh)/1000+IF(REST_rest_gas_kWh="---",0,REST_rest_gas_kWh)/1000</f>
        <v>2724.2350000000001</v>
      </c>
      <c r="F25" s="995"/>
      <c r="G25" s="995"/>
      <c r="H25" s="995"/>
      <c r="I25" s="995"/>
      <c r="J25" s="995"/>
      <c r="K25" s="995"/>
      <c r="L25" s="995"/>
      <c r="M25" s="995"/>
      <c r="N25" s="995"/>
      <c r="O25" s="995"/>
      <c r="P25" s="995"/>
      <c r="Q25" s="996"/>
      <c r="R25" s="675">
        <f>SUM(C25:Q25)</f>
        <v>4764.6980000000003</v>
      </c>
      <c r="S25" s="67"/>
    </row>
    <row r="26" spans="1:19" s="448" customFormat="1" ht="15.75" thickBot="1">
      <c r="A26" s="680" t="s">
        <v>850</v>
      </c>
      <c r="B26" s="792"/>
      <c r="C26" s="787">
        <f>SUM(C24:C25)</f>
        <v>3288.3609999999999</v>
      </c>
      <c r="D26" s="787">
        <f t="shared" ref="D26:R26" si="2">SUM(D24:D25)</f>
        <v>0</v>
      </c>
      <c r="E26" s="787">
        <f t="shared" si="2"/>
        <v>5007.0418559999998</v>
      </c>
      <c r="F26" s="787">
        <f t="shared" si="2"/>
        <v>11.55855394372702</v>
      </c>
      <c r="G26" s="787">
        <f t="shared" si="2"/>
        <v>3166.1549503250421</v>
      </c>
      <c r="H26" s="787">
        <f t="shared" si="2"/>
        <v>0</v>
      </c>
      <c r="I26" s="787">
        <f t="shared" si="2"/>
        <v>0</v>
      </c>
      <c r="J26" s="787">
        <f t="shared" si="2"/>
        <v>0</v>
      </c>
      <c r="K26" s="787">
        <f t="shared" si="2"/>
        <v>191.31668998232601</v>
      </c>
      <c r="L26" s="787">
        <f t="shared" si="2"/>
        <v>0</v>
      </c>
      <c r="M26" s="787">
        <f t="shared" si="2"/>
        <v>0</v>
      </c>
      <c r="N26" s="787">
        <f t="shared" si="2"/>
        <v>0</v>
      </c>
      <c r="O26" s="787">
        <f t="shared" si="2"/>
        <v>0</v>
      </c>
      <c r="P26" s="787">
        <f t="shared" si="2"/>
        <v>0</v>
      </c>
      <c r="Q26" s="787">
        <f t="shared" si="2"/>
        <v>0</v>
      </c>
      <c r="R26" s="787">
        <f t="shared" si="2"/>
        <v>11664.433050251097</v>
      </c>
      <c r="S26" s="67"/>
    </row>
    <row r="27" spans="1:19" s="448" customFormat="1" ht="17.25" thickTop="1" thickBot="1">
      <c r="A27" s="681" t="s">
        <v>115</v>
      </c>
      <c r="B27" s="780"/>
      <c r="C27" s="682">
        <f ca="1">C22+C16+C26</f>
        <v>122410.64570155281</v>
      </c>
      <c r="D27" s="682">
        <f t="shared" ref="D27:R27" ca="1" si="3">D22+D16+D26</f>
        <v>35.357142857142861</v>
      </c>
      <c r="E27" s="682">
        <f t="shared" ca="1" si="3"/>
        <v>290456.14154844184</v>
      </c>
      <c r="F27" s="682">
        <f t="shared" si="3"/>
        <v>18149.466204036773</v>
      </c>
      <c r="G27" s="682">
        <f t="shared" ca="1" si="3"/>
        <v>52141.513188693141</v>
      </c>
      <c r="H27" s="682">
        <f t="shared" si="3"/>
        <v>116429.33503346847</v>
      </c>
      <c r="I27" s="682">
        <f t="shared" si="3"/>
        <v>24795.308790527106</v>
      </c>
      <c r="J27" s="682">
        <f t="shared" si="3"/>
        <v>0</v>
      </c>
      <c r="K27" s="682">
        <f t="shared" si="3"/>
        <v>308.58047859758057</v>
      </c>
      <c r="L27" s="682">
        <f t="shared" si="3"/>
        <v>0</v>
      </c>
      <c r="M27" s="682">
        <f t="shared" ca="1" si="3"/>
        <v>0</v>
      </c>
      <c r="N27" s="682">
        <f t="shared" si="3"/>
        <v>7504.6234305053495</v>
      </c>
      <c r="O27" s="682">
        <f t="shared" ca="1" si="3"/>
        <v>14823.664283317619</v>
      </c>
      <c r="P27" s="682">
        <f t="shared" si="3"/>
        <v>320.48333333333335</v>
      </c>
      <c r="Q27" s="682">
        <f t="shared" si="3"/>
        <v>629.20000000000005</v>
      </c>
      <c r="R27" s="682">
        <f t="shared" ca="1" si="3"/>
        <v>648004.31913533108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5766.6386785002524</v>
      </c>
      <c r="D40" s="991">
        <f ca="1">tertiair!C20</f>
        <v>8.4025210084033635</v>
      </c>
      <c r="E40" s="991">
        <f ca="1">tertiair!D20</f>
        <v>28844.558141425718</v>
      </c>
      <c r="F40" s="991">
        <f>tertiair!E20</f>
        <v>84.887684541117551</v>
      </c>
      <c r="G40" s="991">
        <f ca="1">tertiair!F20</f>
        <v>1259.1886188146525</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35963.675644290139</v>
      </c>
    </row>
    <row r="41" spans="1:18">
      <c r="A41" s="797" t="s">
        <v>224</v>
      </c>
      <c r="B41" s="804"/>
      <c r="C41" s="991">
        <f ca="1">huishoudens!B12</f>
        <v>8429.2661048176797</v>
      </c>
      <c r="D41" s="991">
        <f ca="1">huishoudens!C12</f>
        <v>0</v>
      </c>
      <c r="E41" s="991">
        <f>huishoudens!D12</f>
        <v>22110.609180176001</v>
      </c>
      <c r="F41" s="991">
        <f>huishoudens!E12</f>
        <v>3382.4488474057875</v>
      </c>
      <c r="G41" s="991">
        <f>huishoudens!F12</f>
        <v>9044.6137056580428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42966.937838057507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6806.1781601906268</v>
      </c>
      <c r="D43" s="991">
        <f ca="1">industrie!C22</f>
        <v>0</v>
      </c>
      <c r="E43" s="991">
        <f>industrie!D22</f>
        <v>6697.2839068519997</v>
      </c>
      <c r="F43" s="991">
        <f>industrie!E22</f>
        <v>561.48551185144163</v>
      </c>
      <c r="G43" s="991">
        <f>industrie!F22</f>
        <v>2772.6183251715884</v>
      </c>
      <c r="H43" s="991">
        <f>industrie!G22</f>
        <v>0</v>
      </c>
      <c r="I43" s="991">
        <f>industrie!H22</f>
        <v>0</v>
      </c>
      <c r="J43" s="991">
        <f>industrie!I22</f>
        <v>0</v>
      </c>
      <c r="K43" s="991">
        <f>industrie!J22</f>
        <v>41.511381169800103</v>
      </c>
      <c r="L43" s="991">
        <f>industrie!K22</f>
        <v>0</v>
      </c>
      <c r="M43" s="991">
        <f>industrie!L22</f>
        <v>0</v>
      </c>
      <c r="N43" s="991">
        <f>industrie!M22</f>
        <v>0</v>
      </c>
      <c r="O43" s="991">
        <f>industrie!N22</f>
        <v>0</v>
      </c>
      <c r="P43" s="991">
        <f>industrie!O22</f>
        <v>0</v>
      </c>
      <c r="Q43" s="749">
        <f>industrie!P22</f>
        <v>0</v>
      </c>
      <c r="R43" s="824">
        <f t="shared" ca="1" si="4"/>
        <v>16879.077285235457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21002.082943508558</v>
      </c>
      <c r="D46" s="707">
        <f t="shared" ref="D46:Q46" ca="1" si="5">SUM(D39:D45)</f>
        <v>8.4025210084033635</v>
      </c>
      <c r="E46" s="707">
        <f t="shared" ca="1" si="5"/>
        <v>57652.45122845372</v>
      </c>
      <c r="F46" s="707">
        <f t="shared" si="5"/>
        <v>4028.8220437983464</v>
      </c>
      <c r="G46" s="707">
        <f t="shared" ca="1" si="5"/>
        <v>13076.420649644284</v>
      </c>
      <c r="H46" s="707">
        <f t="shared" si="5"/>
        <v>0</v>
      </c>
      <c r="I46" s="707">
        <f t="shared" si="5"/>
        <v>0</v>
      </c>
      <c r="J46" s="707">
        <f t="shared" si="5"/>
        <v>0</v>
      </c>
      <c r="K46" s="707">
        <f t="shared" si="5"/>
        <v>41.511381169800103</v>
      </c>
      <c r="L46" s="707">
        <f t="shared" si="5"/>
        <v>0</v>
      </c>
      <c r="M46" s="707">
        <f t="shared" ca="1" si="5"/>
        <v>0</v>
      </c>
      <c r="N46" s="707">
        <f t="shared" si="5"/>
        <v>0</v>
      </c>
      <c r="O46" s="707">
        <f t="shared" ca="1" si="5"/>
        <v>0</v>
      </c>
      <c r="P46" s="707">
        <f t="shared" si="5"/>
        <v>0</v>
      </c>
      <c r="Q46" s="707">
        <f t="shared" si="5"/>
        <v>0</v>
      </c>
      <c r="R46" s="707">
        <f ca="1">SUM(R39:R45)</f>
        <v>95809.690767583103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633.41882468706422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633.41882468706422</v>
      </c>
    </row>
    <row r="50" spans="1:18">
      <c r="A50" s="800" t="s">
        <v>306</v>
      </c>
      <c r="B50" s="810"/>
      <c r="C50" s="678">
        <f ca="1">transport!B18</f>
        <v>3.6025640993315275</v>
      </c>
      <c r="D50" s="678">
        <f>transport!C18</f>
        <v>0</v>
      </c>
      <c r="E50" s="678">
        <f>transport!D18</f>
        <v>8.2669094195203652</v>
      </c>
      <c r="F50" s="678">
        <f>transport!E18</f>
        <v>88.482992772775091</v>
      </c>
      <c r="G50" s="678">
        <f>transport!F18</f>
        <v>0</v>
      </c>
      <c r="H50" s="678">
        <f>transport!G18</f>
        <v>30453.213629249018</v>
      </c>
      <c r="I50" s="678">
        <f>transport!H18</f>
        <v>6174.0318888412494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36727.597984381893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3.6025640993315275</v>
      </c>
      <c r="D52" s="707">
        <f t="shared" ref="D52:Q52" ca="1" si="6">SUM(D48:D51)</f>
        <v>0</v>
      </c>
      <c r="E52" s="707">
        <f t="shared" si="6"/>
        <v>8.2669094195203652</v>
      </c>
      <c r="F52" s="707">
        <f t="shared" si="6"/>
        <v>88.482992772775091</v>
      </c>
      <c r="G52" s="707">
        <f t="shared" si="6"/>
        <v>0</v>
      </c>
      <c r="H52" s="707">
        <f t="shared" si="6"/>
        <v>31086.632453936083</v>
      </c>
      <c r="I52" s="707">
        <f t="shared" si="6"/>
        <v>6174.0318888412494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37361.016809068955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220.05079065807385</v>
      </c>
      <c r="D54" s="678">
        <f ca="1">+landbouw!C12</f>
        <v>0</v>
      </c>
      <c r="E54" s="678">
        <f>+landbouw!D12</f>
        <v>461.12698491200007</v>
      </c>
      <c r="F54" s="678">
        <f>+landbouw!E12</f>
        <v>2.6237917452260335</v>
      </c>
      <c r="G54" s="678">
        <f>+landbouw!F12</f>
        <v>845.36337173678635</v>
      </c>
      <c r="H54" s="678">
        <f>+landbouw!G12</f>
        <v>0</v>
      </c>
      <c r="I54" s="678">
        <f>+landbouw!H12</f>
        <v>0</v>
      </c>
      <c r="J54" s="678">
        <f>+landbouw!I12</f>
        <v>0</v>
      </c>
      <c r="K54" s="678">
        <f>+landbouw!J12</f>
        <v>67.726108253743405</v>
      </c>
      <c r="L54" s="678">
        <f>+landbouw!K12</f>
        <v>0</v>
      </c>
      <c r="M54" s="678">
        <f>+landbouw!L12</f>
        <v>0</v>
      </c>
      <c r="N54" s="678">
        <f>+landbouw!M12</f>
        <v>0</v>
      </c>
      <c r="O54" s="678">
        <f>+landbouw!N12</f>
        <v>0</v>
      </c>
      <c r="P54" s="678">
        <f>+landbouw!O12</f>
        <v>0</v>
      </c>
      <c r="Q54" s="679">
        <f>+landbouw!P12</f>
        <v>0</v>
      </c>
      <c r="R54" s="706">
        <f ca="1">SUM(C54:Q54)</f>
        <v>1596.8910473058297</v>
      </c>
    </row>
    <row r="55" spans="1:18" ht="15" thickBot="1">
      <c r="A55" s="800" t="s">
        <v>849</v>
      </c>
      <c r="B55" s="810"/>
      <c r="C55" s="678">
        <f ca="1">C25*'EF ele_warmte'!B12</f>
        <v>359.80945274256817</v>
      </c>
      <c r="D55" s="678"/>
      <c r="E55" s="678">
        <f>E25*EF_CO2_aardgas</f>
        <v>550.29547000000002</v>
      </c>
      <c r="F55" s="678"/>
      <c r="G55" s="678"/>
      <c r="H55" s="678"/>
      <c r="I55" s="678"/>
      <c r="J55" s="678"/>
      <c r="K55" s="678"/>
      <c r="L55" s="678"/>
      <c r="M55" s="678"/>
      <c r="N55" s="678"/>
      <c r="O55" s="678"/>
      <c r="P55" s="678"/>
      <c r="Q55" s="679"/>
      <c r="R55" s="706">
        <f ca="1">SUM(C55:Q55)</f>
        <v>910.10492274256819</v>
      </c>
    </row>
    <row r="56" spans="1:18" ht="15.75" thickBot="1">
      <c r="A56" s="798" t="s">
        <v>850</v>
      </c>
      <c r="B56" s="811"/>
      <c r="C56" s="707">
        <f ca="1">SUM(C54:C55)</f>
        <v>579.86024340064205</v>
      </c>
      <c r="D56" s="707">
        <f t="shared" ref="D56:Q56" ca="1" si="7">SUM(D54:D55)</f>
        <v>0</v>
      </c>
      <c r="E56" s="707">
        <f t="shared" si="7"/>
        <v>1011.4224549120001</v>
      </c>
      <c r="F56" s="707">
        <f t="shared" si="7"/>
        <v>2.6237917452260335</v>
      </c>
      <c r="G56" s="707">
        <f t="shared" si="7"/>
        <v>845.36337173678635</v>
      </c>
      <c r="H56" s="707">
        <f t="shared" si="7"/>
        <v>0</v>
      </c>
      <c r="I56" s="707">
        <f t="shared" si="7"/>
        <v>0</v>
      </c>
      <c r="J56" s="707">
        <f t="shared" si="7"/>
        <v>0</v>
      </c>
      <c r="K56" s="707">
        <f t="shared" si="7"/>
        <v>67.726108253743405</v>
      </c>
      <c r="L56" s="707">
        <f t="shared" si="7"/>
        <v>0</v>
      </c>
      <c r="M56" s="707">
        <f t="shared" si="7"/>
        <v>0</v>
      </c>
      <c r="N56" s="707">
        <f t="shared" si="7"/>
        <v>0</v>
      </c>
      <c r="O56" s="707">
        <f t="shared" si="7"/>
        <v>0</v>
      </c>
      <c r="P56" s="707">
        <f t="shared" si="7"/>
        <v>0</v>
      </c>
      <c r="Q56" s="708">
        <f t="shared" si="7"/>
        <v>0</v>
      </c>
      <c r="R56" s="709">
        <f ca="1">SUM(R54:R55)</f>
        <v>2506.9959700483978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21585.545751008533</v>
      </c>
      <c r="D61" s="715">
        <f t="shared" ref="D61:Q61" ca="1" si="8">D46+D52+D56</f>
        <v>8.4025210084033635</v>
      </c>
      <c r="E61" s="715">
        <f t="shared" ca="1" si="8"/>
        <v>58672.140592785239</v>
      </c>
      <c r="F61" s="715">
        <f t="shared" si="8"/>
        <v>4119.9288283163478</v>
      </c>
      <c r="G61" s="715">
        <f t="shared" ca="1" si="8"/>
        <v>13921.78402138107</v>
      </c>
      <c r="H61" s="715">
        <f t="shared" si="8"/>
        <v>31086.632453936083</v>
      </c>
      <c r="I61" s="715">
        <f t="shared" si="8"/>
        <v>6174.0318888412494</v>
      </c>
      <c r="J61" s="715">
        <f t="shared" si="8"/>
        <v>0</v>
      </c>
      <c r="K61" s="715">
        <f t="shared" si="8"/>
        <v>109.23748942354351</v>
      </c>
      <c r="L61" s="715">
        <f t="shared" si="8"/>
        <v>0</v>
      </c>
      <c r="M61" s="715">
        <f t="shared" ca="1" si="8"/>
        <v>0</v>
      </c>
      <c r="N61" s="715">
        <f t="shared" si="8"/>
        <v>0</v>
      </c>
      <c r="O61" s="715">
        <f t="shared" ca="1" si="8"/>
        <v>0</v>
      </c>
      <c r="P61" s="715">
        <f t="shared" si="8"/>
        <v>0</v>
      </c>
      <c r="Q61" s="715">
        <f t="shared" si="8"/>
        <v>0</v>
      </c>
      <c r="R61" s="715">
        <f ca="1">R46+R52+R56</f>
        <v>135677.70354670045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0.17633716109655906</v>
      </c>
      <c r="D63" s="756">
        <f t="shared" ca="1" si="9"/>
        <v>0.23764705882352943</v>
      </c>
      <c r="E63" s="1002">
        <f t="shared" ca="1" si="9"/>
        <v>0.20199999999999996</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14015.525023746064</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10724.832278247253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24.75</v>
      </c>
      <c r="D76" s="1012">
        <f>'lokale energieproductie'!C8</f>
        <v>29.117647058823533</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5.8817647058823539</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24740.357301993317</v>
      </c>
      <c r="C78" s="730">
        <f>SUM(C72:C77)</f>
        <v>24.75</v>
      </c>
      <c r="D78" s="731">
        <f t="shared" ref="D78:H78" si="10">SUM(D76:D77)</f>
        <v>29.117647058823533</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5.8817647058823539</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35.357142857142861</v>
      </c>
      <c r="D87" s="752">
        <f>'lokale energieproductie'!C17</f>
        <v>41.596638655462193</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8.4025210084033635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35.357142857142861</v>
      </c>
      <c r="D90" s="730">
        <f t="shared" ref="D90:H90" si="12">SUM(D87:D89)</f>
        <v>41.596638655462193</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8.4025210084033635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14015.525023746064</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10724.832278247253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24.75</v>
      </c>
      <c r="C8" s="545">
        <f>B48</f>
        <v>29.117647058823533</v>
      </c>
      <c r="D8" s="1022"/>
      <c r="E8" s="1022">
        <f>E48</f>
        <v>0</v>
      </c>
      <c r="F8" s="1023"/>
      <c r="G8" s="546"/>
      <c r="H8" s="1022">
        <f>I48</f>
        <v>0</v>
      </c>
      <c r="I8" s="1022">
        <f>G48+F48</f>
        <v>0</v>
      </c>
      <c r="J8" s="1022">
        <f>H48+D48+C48</f>
        <v>0</v>
      </c>
      <c r="K8" s="1022"/>
      <c r="L8" s="1022"/>
      <c r="M8" s="1022"/>
      <c r="N8" s="547"/>
      <c r="O8" s="548">
        <f>C8*$C$12+D8*$D$12+E8*$E$12+F8*$F$12+G8*$G$12+H8*$H$12+I8*$I$12+J8*$J$12</f>
        <v>5.8817647058823539</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24765.107301993317</v>
      </c>
      <c r="C10" s="558">
        <f t="shared" ref="C10:L10" si="0">SUM(C8:C9)</f>
        <v>29.117647058823533</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5.8817647058823539</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35.357142857142861</v>
      </c>
      <c r="C17" s="570">
        <f>B49</f>
        <v>41.596638655462193</v>
      </c>
      <c r="D17" s="571"/>
      <c r="E17" s="571">
        <f>E49</f>
        <v>0</v>
      </c>
      <c r="F17" s="1028"/>
      <c r="G17" s="572"/>
      <c r="H17" s="570">
        <f>I49</f>
        <v>0</v>
      </c>
      <c r="I17" s="571">
        <f>G49+F49</f>
        <v>0</v>
      </c>
      <c r="J17" s="571">
        <f>H49+D49+C49</f>
        <v>0</v>
      </c>
      <c r="K17" s="571"/>
      <c r="L17" s="571"/>
      <c r="M17" s="571"/>
      <c r="N17" s="1029"/>
      <c r="O17" s="573">
        <f>C17*$C$22+E17*$E$22+H17*$H$22+I17*$I$22+J17*$J$22+D17*$D$22+F17*$F$22+G17*$G$22+K17*$K$22+L17*$L$22</f>
        <v>8.4025210084033635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35.357142857142861</v>
      </c>
      <c r="C20" s="557">
        <f>SUM(C17:C19)</f>
        <v>41.596638655462193</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8.4025210084033635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73042</v>
      </c>
      <c r="C28" s="771">
        <v>3620</v>
      </c>
      <c r="D28" s="628" t="s">
        <v>913</v>
      </c>
      <c r="E28" s="627" t="s">
        <v>914</v>
      </c>
      <c r="F28" s="627" t="s">
        <v>915</v>
      </c>
      <c r="G28" s="627" t="s">
        <v>916</v>
      </c>
      <c r="H28" s="627" t="s">
        <v>917</v>
      </c>
      <c r="I28" s="627" t="s">
        <v>914</v>
      </c>
      <c r="J28" s="770">
        <v>39072</v>
      </c>
      <c r="K28" s="770">
        <v>39295</v>
      </c>
      <c r="L28" s="627" t="s">
        <v>918</v>
      </c>
      <c r="M28" s="627">
        <v>5.5</v>
      </c>
      <c r="N28" s="627">
        <v>24.75</v>
      </c>
      <c r="O28" s="627">
        <v>35.357142857142861</v>
      </c>
      <c r="P28" s="627">
        <v>70.714285714285722</v>
      </c>
      <c r="Q28" s="627">
        <v>0</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5.5</v>
      </c>
      <c r="N29" s="585">
        <f>SUM(N28:N28)</f>
        <v>24.75</v>
      </c>
      <c r="O29" s="585">
        <f>SUM(O28:O28)</f>
        <v>35.357142857142861</v>
      </c>
      <c r="P29" s="585">
        <f>SUM(P28:P28)</f>
        <v>70.714285714285722</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5.5</v>
      </c>
      <c r="N31" s="585">
        <f ca="1">SUMIF($Z$28:AD28,"tertiair",N28:N28)</f>
        <v>24.75</v>
      </c>
      <c r="O31" s="585">
        <f ca="1">SUMIF($Z$28:AE28,"tertiair",O28:O28)</f>
        <v>35.357142857142861</v>
      </c>
      <c r="P31" s="585">
        <f ca="1">SUMIF($Z$28:AF28,"tertiair",P28:P28)</f>
        <v>70.714285714285722</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29.117647058823533</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41.596638655462193</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47801.98372481433</v>
      </c>
      <c r="C4" s="452">
        <f>huishoudens!C8</f>
        <v>0</v>
      </c>
      <c r="D4" s="452">
        <f>huishoudens!D8</f>
        <v>109458.46128800001</v>
      </c>
      <c r="E4" s="452">
        <f>huishoudens!E8</f>
        <v>14900.655715443998</v>
      </c>
      <c r="F4" s="452">
        <f>huishoudens!F8</f>
        <v>33874.957699093793</v>
      </c>
      <c r="G4" s="452">
        <f>huishoudens!G8</f>
        <v>0</v>
      </c>
      <c r="H4" s="452">
        <f>huishoudens!H8</f>
        <v>0</v>
      </c>
      <c r="I4" s="452">
        <f>huishoudens!I8</f>
        <v>0</v>
      </c>
      <c r="J4" s="452">
        <f>huishoudens!J8</f>
        <v>0</v>
      </c>
      <c r="K4" s="452">
        <f>huishoudens!K8</f>
        <v>0</v>
      </c>
      <c r="L4" s="452">
        <f>huishoudens!L8</f>
        <v>0</v>
      </c>
      <c r="M4" s="452">
        <f>huishoudens!M8</f>
        <v>0</v>
      </c>
      <c r="N4" s="452">
        <f>huishoudens!N8</f>
        <v>10500.999198107373</v>
      </c>
      <c r="O4" s="452">
        <f>huishoudens!O8</f>
        <v>317.35666666666668</v>
      </c>
      <c r="P4" s="453">
        <f>huishoudens!P8</f>
        <v>629.20000000000005</v>
      </c>
      <c r="Q4" s="454">
        <f>SUM(B4:P4)</f>
        <v>217483.61429212618</v>
      </c>
    </row>
    <row r="5" spans="1:17">
      <c r="A5" s="451" t="s">
        <v>155</v>
      </c>
      <c r="B5" s="452">
        <f ca="1">tertiair!B16</f>
        <v>31054.48</v>
      </c>
      <c r="C5" s="452">
        <f ca="1">tertiair!C16</f>
        <v>35.357142857142861</v>
      </c>
      <c r="D5" s="452">
        <f ca="1">tertiair!D16</f>
        <v>142794.84228428573</v>
      </c>
      <c r="E5" s="452">
        <f>tertiair!E16</f>
        <v>373.95455744985702</v>
      </c>
      <c r="F5" s="452">
        <f ca="1">tertiair!F16</f>
        <v>4716.0622427515073</v>
      </c>
      <c r="G5" s="452">
        <f>tertiair!G16</f>
        <v>0</v>
      </c>
      <c r="H5" s="452">
        <f>tertiair!H16</f>
        <v>0</v>
      </c>
      <c r="I5" s="452">
        <f>tertiair!I16</f>
        <v>0</v>
      </c>
      <c r="J5" s="452">
        <f>tertiair!J16</f>
        <v>0</v>
      </c>
      <c r="K5" s="452">
        <f>tertiair!K16</f>
        <v>0</v>
      </c>
      <c r="L5" s="452">
        <f ca="1">tertiair!L16</f>
        <v>0</v>
      </c>
      <c r="M5" s="452">
        <f>tertiair!M16</f>
        <v>0</v>
      </c>
      <c r="N5" s="452">
        <f ca="1">tertiair!N16</f>
        <v>2438.6399590451388</v>
      </c>
      <c r="O5" s="452">
        <f>tertiair!O16</f>
        <v>3.1266666666666669</v>
      </c>
      <c r="P5" s="453">
        <f>tertiair!P16</f>
        <v>0</v>
      </c>
      <c r="Q5" s="451">
        <f t="shared" ref="Q5:Q14" ca="1" si="0">SUM(B5:P5)</f>
        <v>181416.46285305603</v>
      </c>
    </row>
    <row r="6" spans="1:17">
      <c r="A6" s="451" t="s">
        <v>193</v>
      </c>
      <c r="B6" s="452">
        <f>'openbare verlichting'!B8</f>
        <v>1647.865</v>
      </c>
      <c r="C6" s="452"/>
      <c r="D6" s="452"/>
      <c r="E6" s="452"/>
      <c r="F6" s="452"/>
      <c r="G6" s="452"/>
      <c r="H6" s="452"/>
      <c r="I6" s="452"/>
      <c r="J6" s="452"/>
      <c r="K6" s="452"/>
      <c r="L6" s="452"/>
      <c r="M6" s="452"/>
      <c r="N6" s="452"/>
      <c r="O6" s="452"/>
      <c r="P6" s="453"/>
      <c r="Q6" s="451">
        <f t="shared" si="0"/>
        <v>1647.865</v>
      </c>
    </row>
    <row r="7" spans="1:17">
      <c r="A7" s="451" t="s">
        <v>111</v>
      </c>
      <c r="B7" s="452">
        <f>landbouw!B8</f>
        <v>1247.8979999999999</v>
      </c>
      <c r="C7" s="452">
        <f>landbouw!C8</f>
        <v>0</v>
      </c>
      <c r="D7" s="452">
        <f>landbouw!D8</f>
        <v>2282.8068560000002</v>
      </c>
      <c r="E7" s="452">
        <f>landbouw!E8</f>
        <v>11.55855394372702</v>
      </c>
      <c r="F7" s="452">
        <f>landbouw!F8</f>
        <v>3166.1549503250421</v>
      </c>
      <c r="G7" s="452">
        <f>landbouw!G8</f>
        <v>0</v>
      </c>
      <c r="H7" s="452">
        <f>landbouw!H8</f>
        <v>0</v>
      </c>
      <c r="I7" s="452">
        <f>landbouw!I8</f>
        <v>0</v>
      </c>
      <c r="J7" s="452">
        <f>landbouw!J8</f>
        <v>191.31668998232601</v>
      </c>
      <c r="K7" s="452">
        <f>landbouw!K8</f>
        <v>0</v>
      </c>
      <c r="L7" s="452">
        <f>landbouw!L8</f>
        <v>0</v>
      </c>
      <c r="M7" s="452">
        <f>landbouw!M8</f>
        <v>0</v>
      </c>
      <c r="N7" s="452">
        <f>landbouw!N8</f>
        <v>0</v>
      </c>
      <c r="O7" s="452">
        <f>landbouw!O8</f>
        <v>0</v>
      </c>
      <c r="P7" s="453">
        <f>landbouw!P8</f>
        <v>0</v>
      </c>
      <c r="Q7" s="451">
        <f t="shared" si="0"/>
        <v>6899.7350502510963</v>
      </c>
    </row>
    <row r="8" spans="1:17">
      <c r="A8" s="451" t="s">
        <v>649</v>
      </c>
      <c r="B8" s="452">
        <f>industrie!B18</f>
        <v>38597.525999999998</v>
      </c>
      <c r="C8" s="452">
        <f>industrie!C18</f>
        <v>0</v>
      </c>
      <c r="D8" s="452">
        <f>industrie!D18</f>
        <v>33154.870825999998</v>
      </c>
      <c r="E8" s="452">
        <f>industrie!E18</f>
        <v>2473.5044574953376</v>
      </c>
      <c r="F8" s="452">
        <f>industrie!F18</f>
        <v>10384.338296522803</v>
      </c>
      <c r="G8" s="452">
        <f>industrie!G18</f>
        <v>0</v>
      </c>
      <c r="H8" s="452">
        <f>industrie!H18</f>
        <v>0</v>
      </c>
      <c r="I8" s="452">
        <f>industrie!I18</f>
        <v>0</v>
      </c>
      <c r="J8" s="452">
        <f>industrie!J18</f>
        <v>117.26378861525454</v>
      </c>
      <c r="K8" s="452">
        <f>industrie!K18</f>
        <v>0</v>
      </c>
      <c r="L8" s="452">
        <f>industrie!L18</f>
        <v>0</v>
      </c>
      <c r="M8" s="452">
        <f>industrie!M18</f>
        <v>0</v>
      </c>
      <c r="N8" s="452">
        <f>industrie!N18</f>
        <v>1884.0251261651092</v>
      </c>
      <c r="O8" s="452">
        <f>industrie!O18</f>
        <v>0</v>
      </c>
      <c r="P8" s="453">
        <f>industrie!P18</f>
        <v>0</v>
      </c>
      <c r="Q8" s="451">
        <f t="shared" si="0"/>
        <v>86611.528494798506</v>
      </c>
    </row>
    <row r="9" spans="1:17" s="457" customFormat="1">
      <c r="A9" s="455" t="s">
        <v>570</v>
      </c>
      <c r="B9" s="456">
        <f>transport!B14</f>
        <v>20.429976738475609</v>
      </c>
      <c r="C9" s="456">
        <f>transport!C14</f>
        <v>0</v>
      </c>
      <c r="D9" s="456">
        <f>transport!D14</f>
        <v>40.92529415604141</v>
      </c>
      <c r="E9" s="456">
        <f>transport!E14</f>
        <v>389.79291970385503</v>
      </c>
      <c r="F9" s="456">
        <f>transport!F14</f>
        <v>0</v>
      </c>
      <c r="G9" s="456">
        <f>transport!G14</f>
        <v>114056.97988482777</v>
      </c>
      <c r="H9" s="456">
        <f>transport!H14</f>
        <v>24795.308790527106</v>
      </c>
      <c r="I9" s="456">
        <f>transport!I14</f>
        <v>0</v>
      </c>
      <c r="J9" s="456">
        <f>transport!J14</f>
        <v>0</v>
      </c>
      <c r="K9" s="456">
        <f>transport!K14</f>
        <v>0</v>
      </c>
      <c r="L9" s="456">
        <f>transport!L14</f>
        <v>0</v>
      </c>
      <c r="M9" s="456">
        <f>transport!M14</f>
        <v>7369.0268309651301</v>
      </c>
      <c r="N9" s="456">
        <f>transport!N14</f>
        <v>0</v>
      </c>
      <c r="O9" s="456">
        <f>transport!O14</f>
        <v>0</v>
      </c>
      <c r="P9" s="456">
        <f>transport!P14</f>
        <v>0</v>
      </c>
      <c r="Q9" s="455">
        <f>SUM(B9:P9)</f>
        <v>146672.46369691836</v>
      </c>
    </row>
    <row r="10" spans="1:17">
      <c r="A10" s="451" t="s">
        <v>560</v>
      </c>
      <c r="B10" s="452">
        <f>transport!B54</f>
        <v>0</v>
      </c>
      <c r="C10" s="452">
        <f>transport!C54</f>
        <v>0</v>
      </c>
      <c r="D10" s="452">
        <f>transport!D54</f>
        <v>0</v>
      </c>
      <c r="E10" s="452">
        <f>transport!E54</f>
        <v>0</v>
      </c>
      <c r="F10" s="452">
        <f>transport!F54</f>
        <v>0</v>
      </c>
      <c r="G10" s="452">
        <f>transport!G54</f>
        <v>2372.35514864069</v>
      </c>
      <c r="H10" s="452">
        <f>transport!H54</f>
        <v>0</v>
      </c>
      <c r="I10" s="452">
        <f>transport!I54</f>
        <v>0</v>
      </c>
      <c r="J10" s="452">
        <f>transport!J54</f>
        <v>0</v>
      </c>
      <c r="K10" s="452">
        <f>transport!K54</f>
        <v>0</v>
      </c>
      <c r="L10" s="452">
        <f>transport!L54</f>
        <v>0</v>
      </c>
      <c r="M10" s="452">
        <f>transport!M54</f>
        <v>135.59659954021964</v>
      </c>
      <c r="N10" s="452">
        <f>transport!N54</f>
        <v>0</v>
      </c>
      <c r="O10" s="452">
        <f>transport!O54</f>
        <v>0</v>
      </c>
      <c r="P10" s="453">
        <f>transport!P54</f>
        <v>0</v>
      </c>
      <c r="Q10" s="451">
        <f t="shared" si="0"/>
        <v>2507.9517481809098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2040.463</v>
      </c>
      <c r="C14" s="459"/>
      <c r="D14" s="459">
        <f>'SEAP template'!E25</f>
        <v>2724.2350000000001</v>
      </c>
      <c r="E14" s="459"/>
      <c r="F14" s="459"/>
      <c r="G14" s="459"/>
      <c r="H14" s="459"/>
      <c r="I14" s="459"/>
      <c r="J14" s="459"/>
      <c r="K14" s="459"/>
      <c r="L14" s="459"/>
      <c r="M14" s="459"/>
      <c r="N14" s="459"/>
      <c r="O14" s="459"/>
      <c r="P14" s="460"/>
      <c r="Q14" s="451">
        <f t="shared" si="0"/>
        <v>4764.6980000000003</v>
      </c>
    </row>
    <row r="15" spans="1:17" s="461" customFormat="1">
      <c r="A15" s="1017" t="s">
        <v>564</v>
      </c>
      <c r="B15" s="957">
        <f ca="1">SUM(B4:B14)</f>
        <v>122410.64570155281</v>
      </c>
      <c r="C15" s="957">
        <f t="shared" ref="C15:Q15" ca="1" si="1">SUM(C4:C14)</f>
        <v>35.357142857142861</v>
      </c>
      <c r="D15" s="957">
        <f t="shared" ca="1" si="1"/>
        <v>290456.14154844184</v>
      </c>
      <c r="E15" s="957">
        <f t="shared" si="1"/>
        <v>18149.466204036773</v>
      </c>
      <c r="F15" s="957">
        <f t="shared" ca="1" si="1"/>
        <v>52141.513188693141</v>
      </c>
      <c r="G15" s="957">
        <f t="shared" si="1"/>
        <v>116429.33503346847</v>
      </c>
      <c r="H15" s="957">
        <f t="shared" si="1"/>
        <v>24795.308790527106</v>
      </c>
      <c r="I15" s="957">
        <f t="shared" si="1"/>
        <v>0</v>
      </c>
      <c r="J15" s="957">
        <f t="shared" si="1"/>
        <v>308.58047859758057</v>
      </c>
      <c r="K15" s="957">
        <f t="shared" si="1"/>
        <v>0</v>
      </c>
      <c r="L15" s="957">
        <f t="shared" ca="1" si="1"/>
        <v>0</v>
      </c>
      <c r="M15" s="957">
        <f t="shared" si="1"/>
        <v>7504.6234305053495</v>
      </c>
      <c r="N15" s="957">
        <f t="shared" ca="1" si="1"/>
        <v>14823.664283317619</v>
      </c>
      <c r="O15" s="957">
        <f t="shared" si="1"/>
        <v>320.48333333333335</v>
      </c>
      <c r="P15" s="957">
        <f t="shared" si="1"/>
        <v>629.20000000000005</v>
      </c>
      <c r="Q15" s="957">
        <f t="shared" ca="1" si="1"/>
        <v>648004.31913533108</v>
      </c>
    </row>
    <row r="17" spans="1:17">
      <c r="A17" s="462" t="s">
        <v>565</v>
      </c>
      <c r="B17" s="761">
        <f ca="1">huishoudens!B10</f>
        <v>0.17633716109655906</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8429.2661048176797</v>
      </c>
      <c r="C22" s="452">
        <f t="shared" ref="C22:C32" ca="1" si="3">C4*$C$17</f>
        <v>0</v>
      </c>
      <c r="D22" s="452">
        <f t="shared" ref="D22:D32" si="4">D4*$D$17</f>
        <v>22110.609180176001</v>
      </c>
      <c r="E22" s="452">
        <f t="shared" ref="E22:E32" si="5">E4*$E$17</f>
        <v>3382.4488474057875</v>
      </c>
      <c r="F22" s="452">
        <f t="shared" ref="F22:F32" si="6">F4*$F$17</f>
        <v>9044.6137056580428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42966.937838057507</v>
      </c>
    </row>
    <row r="23" spans="1:17">
      <c r="A23" s="451" t="s">
        <v>155</v>
      </c>
      <c r="B23" s="452">
        <f t="shared" ca="1" si="2"/>
        <v>5476.0588425298711</v>
      </c>
      <c r="C23" s="452">
        <f t="shared" ca="1" si="3"/>
        <v>8.4025210084033635</v>
      </c>
      <c r="D23" s="452">
        <f t="shared" ca="1" si="4"/>
        <v>28844.558141425718</v>
      </c>
      <c r="E23" s="452">
        <f t="shared" si="5"/>
        <v>84.887684541117551</v>
      </c>
      <c r="F23" s="452">
        <f t="shared" ca="1" si="6"/>
        <v>1259.1886188146525</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35673.095808319762</v>
      </c>
    </row>
    <row r="24" spans="1:17">
      <c r="A24" s="451" t="s">
        <v>193</v>
      </c>
      <c r="B24" s="452">
        <f t="shared" ca="1" si="2"/>
        <v>290.57983597038128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290.57983597038128</v>
      </c>
    </row>
    <row r="25" spans="1:17">
      <c r="A25" s="451" t="s">
        <v>111</v>
      </c>
      <c r="B25" s="452">
        <f t="shared" ca="1" si="2"/>
        <v>220.05079065807385</v>
      </c>
      <c r="C25" s="452">
        <f t="shared" ca="1" si="3"/>
        <v>0</v>
      </c>
      <c r="D25" s="452">
        <f t="shared" si="4"/>
        <v>461.12698491200007</v>
      </c>
      <c r="E25" s="452">
        <f t="shared" si="5"/>
        <v>2.6237917452260335</v>
      </c>
      <c r="F25" s="452">
        <f t="shared" si="6"/>
        <v>845.36337173678635</v>
      </c>
      <c r="G25" s="452">
        <f t="shared" si="7"/>
        <v>0</v>
      </c>
      <c r="H25" s="452">
        <f t="shared" si="8"/>
        <v>0</v>
      </c>
      <c r="I25" s="452">
        <f t="shared" si="9"/>
        <v>0</v>
      </c>
      <c r="J25" s="452">
        <f t="shared" si="10"/>
        <v>67.726108253743405</v>
      </c>
      <c r="K25" s="452">
        <f t="shared" si="11"/>
        <v>0</v>
      </c>
      <c r="L25" s="452">
        <f t="shared" si="12"/>
        <v>0</v>
      </c>
      <c r="M25" s="452">
        <f t="shared" si="13"/>
        <v>0</v>
      </c>
      <c r="N25" s="452">
        <f t="shared" si="14"/>
        <v>0</v>
      </c>
      <c r="O25" s="452">
        <f t="shared" si="15"/>
        <v>0</v>
      </c>
      <c r="P25" s="453">
        <f t="shared" si="16"/>
        <v>0</v>
      </c>
      <c r="Q25" s="451">
        <f t="shared" ca="1" si="17"/>
        <v>1596.8910473058297</v>
      </c>
    </row>
    <row r="26" spans="1:17">
      <c r="A26" s="451" t="s">
        <v>649</v>
      </c>
      <c r="B26" s="452">
        <f t="shared" ca="1" si="2"/>
        <v>6806.1781601906268</v>
      </c>
      <c r="C26" s="452">
        <f t="shared" ca="1" si="3"/>
        <v>0</v>
      </c>
      <c r="D26" s="452">
        <f t="shared" si="4"/>
        <v>6697.2839068519997</v>
      </c>
      <c r="E26" s="452">
        <f t="shared" si="5"/>
        <v>561.48551185144163</v>
      </c>
      <c r="F26" s="452">
        <f t="shared" si="6"/>
        <v>2772.6183251715884</v>
      </c>
      <c r="G26" s="452">
        <f t="shared" si="7"/>
        <v>0</v>
      </c>
      <c r="H26" s="452">
        <f t="shared" si="8"/>
        <v>0</v>
      </c>
      <c r="I26" s="452">
        <f t="shared" si="9"/>
        <v>0</v>
      </c>
      <c r="J26" s="452">
        <f t="shared" si="10"/>
        <v>41.511381169800103</v>
      </c>
      <c r="K26" s="452">
        <f t="shared" si="11"/>
        <v>0</v>
      </c>
      <c r="L26" s="452">
        <f t="shared" si="12"/>
        <v>0</v>
      </c>
      <c r="M26" s="452">
        <f t="shared" si="13"/>
        <v>0</v>
      </c>
      <c r="N26" s="452">
        <f t="shared" si="14"/>
        <v>0</v>
      </c>
      <c r="O26" s="452">
        <f t="shared" si="15"/>
        <v>0</v>
      </c>
      <c r="P26" s="453">
        <f t="shared" si="16"/>
        <v>0</v>
      </c>
      <c r="Q26" s="451">
        <f t="shared" ca="1" si="17"/>
        <v>16879.077285235457</v>
      </c>
    </row>
    <row r="27" spans="1:17" s="457" customFormat="1">
      <c r="A27" s="455" t="s">
        <v>570</v>
      </c>
      <c r="B27" s="755">
        <f t="shared" ca="1" si="2"/>
        <v>3.6025640993315275</v>
      </c>
      <c r="C27" s="456">
        <f t="shared" ca="1" si="3"/>
        <v>0</v>
      </c>
      <c r="D27" s="456">
        <f t="shared" si="4"/>
        <v>8.2669094195203652</v>
      </c>
      <c r="E27" s="456">
        <f t="shared" si="5"/>
        <v>88.482992772775091</v>
      </c>
      <c r="F27" s="456">
        <f t="shared" si="6"/>
        <v>0</v>
      </c>
      <c r="G27" s="456">
        <f t="shared" si="7"/>
        <v>30453.213629249018</v>
      </c>
      <c r="H27" s="456">
        <f t="shared" si="8"/>
        <v>6174.0318888412494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36727.597984381893</v>
      </c>
    </row>
    <row r="28" spans="1:17">
      <c r="A28" s="451" t="s">
        <v>560</v>
      </c>
      <c r="B28" s="452">
        <f t="shared" ca="1" si="2"/>
        <v>0</v>
      </c>
      <c r="C28" s="452">
        <f t="shared" ca="1" si="3"/>
        <v>0</v>
      </c>
      <c r="D28" s="452">
        <f t="shared" si="4"/>
        <v>0</v>
      </c>
      <c r="E28" s="452">
        <f t="shared" si="5"/>
        <v>0</v>
      </c>
      <c r="F28" s="452">
        <f t="shared" si="6"/>
        <v>0</v>
      </c>
      <c r="G28" s="452">
        <f t="shared" si="7"/>
        <v>633.41882468706422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633.41882468706422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359.80945274256817</v>
      </c>
      <c r="C32" s="452">
        <f t="shared" ca="1" si="3"/>
        <v>0</v>
      </c>
      <c r="D32" s="452">
        <f t="shared" si="4"/>
        <v>550.29547000000002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910.10492274256819</v>
      </c>
    </row>
    <row r="33" spans="1:17" s="461" customFormat="1">
      <c r="A33" s="1017" t="s">
        <v>564</v>
      </c>
      <c r="B33" s="957">
        <f ca="1">SUM(B22:B32)</f>
        <v>21585.545751008533</v>
      </c>
      <c r="C33" s="957">
        <f t="shared" ref="C33:Q33" ca="1" si="18">SUM(C22:C32)</f>
        <v>8.4025210084033635</v>
      </c>
      <c r="D33" s="957">
        <f t="shared" ca="1" si="18"/>
        <v>58672.140592785239</v>
      </c>
      <c r="E33" s="957">
        <f t="shared" si="18"/>
        <v>4119.9288283163469</v>
      </c>
      <c r="F33" s="957">
        <f t="shared" ca="1" si="18"/>
        <v>13921.78402138107</v>
      </c>
      <c r="G33" s="957">
        <f t="shared" si="18"/>
        <v>31086.632453936083</v>
      </c>
      <c r="H33" s="957">
        <f t="shared" si="18"/>
        <v>6174.0318888412494</v>
      </c>
      <c r="I33" s="957">
        <f t="shared" si="18"/>
        <v>0</v>
      </c>
      <c r="J33" s="957">
        <f t="shared" si="18"/>
        <v>109.23748942354351</v>
      </c>
      <c r="K33" s="957">
        <f t="shared" si="18"/>
        <v>0</v>
      </c>
      <c r="L33" s="957">
        <f t="shared" ca="1" si="18"/>
        <v>0</v>
      </c>
      <c r="M33" s="957">
        <f t="shared" si="18"/>
        <v>0</v>
      </c>
      <c r="N33" s="957">
        <f t="shared" ca="1" si="18"/>
        <v>0</v>
      </c>
      <c r="O33" s="957">
        <f t="shared" si="18"/>
        <v>0</v>
      </c>
      <c r="P33" s="957">
        <f t="shared" si="18"/>
        <v>0</v>
      </c>
      <c r="Q33" s="957">
        <f t="shared" ca="1" si="18"/>
        <v>135677.70354670045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14015.525023746064</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10724.832278247253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24.75</v>
      </c>
      <c r="D8" s="1034">
        <f>'SEAP template'!D76</f>
        <v>29.117647058823533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5.8817647058823539</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24740.357301993317</v>
      </c>
      <c r="C10" s="1038">
        <f>SUM(C4:C9)</f>
        <v>24.75</v>
      </c>
      <c r="D10" s="1038">
        <f t="shared" ref="D10:H10" si="0">SUM(D8:D9)</f>
        <v>29.117647058823533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5.8817647058823539</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0.17633716109655906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35.357142857142861</v>
      </c>
      <c r="D17" s="1035">
        <f>'SEAP template'!D87</f>
        <v>41.596638655462193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8.4025210084033635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35.357142857142861</v>
      </c>
      <c r="D20" s="1038">
        <f t="shared" ref="D20:H20" si="2">SUM(D17:D19)</f>
        <v>41.596638655462193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8.4025210084033635</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0.17633716109655906</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2020-06-20T16:12:41Z</dcterms:modified>
</cp:coreProperties>
</file>