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Q14" i="48"/>
  <c r="D50" i="18"/>
  <c r="H50" i="18"/>
  <c r="J17" i="18" s="1"/>
  <c r="J87" i="14" s="1"/>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J15" i="16"/>
  <c r="B7" i="48"/>
  <c r="C24" i="14"/>
  <c r="C26" i="14" s="1"/>
  <c r="D4" i="48"/>
  <c r="D22" i="48" s="1"/>
  <c r="E11" i="14"/>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E7" i="48"/>
  <c r="E25" i="48" s="1"/>
  <c r="F24" i="14"/>
  <c r="F26" i="14" s="1"/>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O33" i="48"/>
  <c r="N22" i="14"/>
  <c r="N27" i="14" s="1"/>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E8" i="48"/>
  <c r="E26" i="48" s="1"/>
  <c r="E33" i="48" s="1"/>
  <c r="F13" i="14"/>
  <c r="F16" i="14" s="1"/>
  <c r="F27" i="14" s="1"/>
  <c r="F63" i="14" s="1"/>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<sst xmlns="http://schemas.openxmlformats.org/spreadsheetml/2006/main" count="2452" uniqueCount="924">
  <si>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</si>
  <si>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</si>
  <si>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</si>
  <si>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</si>
  <si>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</si>
  <si>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</si>
  <si>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</si>
  <si>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</si>
  <si>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</si>
  <si>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</si>
  <si>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</si>
  <si>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</si>
  <si>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</si>
  <si>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</si>
  <si>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</si>
  <si>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</si>
  <si>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</si>
  <si>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</si>
  <si>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</si>
  <si>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</si>
  <si>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</si>
  <si>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</si>
  <si>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</si>
  <si>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</si>
  <si>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</si>
  <si>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</si>
  <si>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</si>
  <si>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</si>
  <si>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</si>
  <si>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</si>
  <si>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</si>
  <si>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</si>
  <si>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</si>
  <si>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</si>
  <si>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</si>
  <si>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</si>
  <si>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</si>
  <si>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</si>
  <si>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</si>
  <si>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</si>
  <si>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</si>
  <si>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</si>
  <si>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</si>
  <si>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</si>
  <si>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</si>
  <si>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</si>
  <si>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</si>
  <si>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</si>
  <si>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</si>
  <si>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</si>
  <si>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</si>
  <si>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</si>
  <si>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</si>
  <si>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</si>
  <si>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</si>
  <si>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</si>
  <si>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</si>
  <si>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</si>
  <si>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</si>
  <si>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</si>
  <si>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</si>
  <si>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</si>
  <si>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</si>
  <si>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</si>
  <si>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</si>
  <si>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</si>
  <si>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</si>
  <si>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</si>
  <si>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</si>
  <si>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</si>
  <si>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</si>
  <si>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</si>
  <si>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</si>
  <si>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</si>
  <si>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</si>
  <si>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</si>
  <si>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</si>
  <si>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</si>
  <si>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</si>
  <si>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</si>
  <si>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</si>
  <si>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</si>
  <si>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</si>
  <si>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</si>
  <si>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</si>
  <si>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</si>
  <si>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</si>
  <si>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</si>
  <si>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</si>
  <si>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</si>
  <si>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</si>
  <si>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</si>
  <si>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</si>
  <si>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</si>
  <si>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</si>
  <si>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</si>
  <si>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</si>
  <si>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</si>
  <si>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</si>
  <si>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</si>
  <si>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</si>
  <si>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</si>
  <si>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</si>
  <si>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</si>
  <si>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</si>
  <si>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</si>
  <si>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</si>
  <si>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</si>
  <si>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</si>
  <si>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</si>
  <si>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</si>
  <si>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</si>
  <si>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</si>
  <si>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</si>
  <si>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</si>
  <si>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</si>
  <si>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</si>
  <si>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</si>
  <si>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</si>
  <si>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</si>
  <si>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</si>
  <si>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</si>
  <si>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</si>
  <si>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</si>
  <si>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</si>
  <si>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</si>
  <si>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</si>
  <si>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</si>
  <si>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</si>
  <si>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</si>
  <si>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</si>
  <si>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</si>
  <si>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</si>
  <si>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</si>
  <si>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</si>
  <si>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</si>
  <si>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</si>
  <si>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</si>
  <si>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</si>
  <si>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</si>
  <si>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</si>
  <si>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</si>
  <si>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</si>
  <si>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</si>
  <si>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</si>
  <si>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</si>
  <si>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</si>
  <si>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</si>
  <si>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</si>
  <si>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</si>
  <si>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</si>
  <si>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</si>
  <si>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</si>
  <si>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</si>
  <si>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</si>
  <si>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</si>
  <si>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</si>
  <si>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</si>
  <si>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</si>
  <si>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</si>
  <si>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</si>
  <si>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</si>
  <si>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</si>
  <si>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</si>
  <si>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</si>
  <si>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</si>
  <si>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</si>
  <si>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</si>
  <si>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</si>
  <si>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</si>
  <si>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</si>
  <si>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</si>
  <si>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</si>
  <si>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</si>
  <si>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</si>
  <si>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</si>
  <si>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</si>
  <si>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</si>
  <si>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</si>
  <si>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</si>
  <si>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</si>
  <si>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</si>
  <si>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</si>
  <si>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</si>
  <si>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</si>
  <si>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</si>
  <si>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</si>
  <si>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</si>
  <si>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</si>
  <si>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</si>
  <si>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</si>
  <si>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</si>
  <si>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</si>
  <si>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</si>
  <si>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</si>
  <si>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</si>
  <si>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</si>
  <si>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</si>
  <si>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</si>
  <si>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</si>
  <si>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</si>
  <si>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</si>
  <si>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</si>
  <si>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</si>
  <si>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</si>
  <si>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</si>
  <si>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</si>
  <si>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</si>
  <si>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</si>
  <si>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</si>
  <si>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</si>
  <si>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</si>
  <si>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</si>
  <si>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</si>
  <si>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</si>
  <si>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</si>
  <si>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</si>
  <si>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</si>
  <si>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</si>
  <si>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</si>
  <si>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</si>
  <si>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</si>
  <si>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</si>
  <si>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</si>
  <si>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</si>
  <si>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</si>
  <si>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</si>
  <si>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</si>
  <si>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</si>
  <si>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</si>
  <si>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</si>
  <si>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</si>
  <si>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</si>
  <si>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</si>
  <si>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</si>
  <si>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</si>
  <si>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</si>
  <si>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</si>
  <si>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</si>
  <si>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</si>
  <si>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</si>
  <si>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</si>
  <si>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</si>
  <si>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</si>
  <si>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</si>
  <si>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</si>
  <si>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</si>
  <si>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</si>
  <si>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</si>
  <si>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</si>
  <si>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</si>
  <si>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</si>
  <si>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</si>
  <si>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</si>
  <si>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</si>
  <si>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</si>
  <si>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</si>
  <si>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</si>
  <si>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</si>
  <si>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</si>
  <si>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</si>
  <si>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</si>
  <si>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</si>
  <si>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</si>
  <si>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</si>
  <si>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</si>
  <si>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</si>
  <si>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</si>
  <si>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</si>
  <si>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</si>
  <si>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</si>
  <si>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</si>
  <si>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</si>
  <si>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</si>
  <si>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</si>
  <si>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</si>
  <si>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</si>
  <si>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</si>
  <si>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</si>
  <si>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</si>
  <si>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</si>
  <si>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</si>
  <si>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</si>
  <si>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</si>
  <si>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</si>
  <si>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</si>
  <si>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</si>
  <si>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</si>
  <si>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</si>
  <si>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</si>
  <si>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</si>
  <si>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</si>
  <si>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</si>
  <si>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</si>
  <si>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</si>
  <si>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</si>
  <si>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</si>
  <si>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</si>
  <si>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</si>
  <si>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</si>
  <si>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</si>
  <si>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</si>
  <si>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</si>
  <si>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</si>
  <si>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</si>
  <si>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</si>
  <si>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</si>
  <si>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</si>
  <si>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</si>
  <si>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</si>
  <si>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</si>
  <si>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</si>
  <si>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</si>
  <si>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</si>
  <si>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</si>
  <si>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</si>
  <si>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</si>
  <si>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</si>
  <si>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</si>
  <si>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</si>
  <si>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</si>
  <si>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</si>
  <si>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</si>
  <si>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</si>
  <si>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</si>
  <si>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</si>
  <si>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</si>
  <si>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</si>
  <si>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</si>
  <si>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</si>
  <si>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</si>
  <si>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</si>
  <si>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</si>
  <si>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</si>
  <si>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</si>
  <si>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</si>
  <si>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</si>
  <si>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</si>
  <si>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</si>
  <si>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</si>
  <si>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</si>
  <si>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</si>
  <si>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</si>
  <si>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</si>
  <si>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</si>
  <si>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</si>
  <si>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</si>
  <si>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</si>
  <si>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</si>
  <si>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</si>
  <si>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</si>
  <si>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</si>
  <si>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</si>
  <si>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</si>
  <si>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</si>
  <si>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</si>
  <si>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</si>
  <si>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</si>
  <si>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</si>
  <si>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</si>
  <si>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</si>
  <si>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</si>
  <si>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</si>
  <si>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</si>
  <si>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</si>
  <si>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</si>
  <si>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</si>
  <si>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</si>
  <si>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</si>
  <si>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</si>
  <si>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</si>
  <si>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</si>
  <si>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</si>
  <si>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</si>
  <si>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</si>
  <si>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</si>
  <si>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</si>
  <si>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</si>
  <si>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</si>
  <si>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</si>
  <si>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</si>
  <si>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</si>
  <si>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</si>
  <si>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</si>
  <si>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</si>
  <si>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</si>
  <si>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</si>
  <si>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</si>
  <si>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</si>
  <si>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</si>
  <si>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</si>
  <si>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</si>
  <si>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</si>
  <si>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</si>
  <si>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</si>
  <si>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</si>
  <si>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</si>
  <si>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</si>
  <si>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</si>
  <si>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</si>
  <si>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</si>
  <si>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</si>
  <si>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</si>
  <si>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</si>
  <si>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</si>
  <si>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</si>
  <si>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</si>
  <si>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</si>
  <si>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</si>
  <si>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</si>
  <si>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</si>
  <si>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</si>
  <si>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</si>
  <si>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</si>
  <si>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</si>
  <si>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</si>
  <si>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</si>
  <si>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</si>
  <si>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</si>
  <si>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</si>
  <si>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</si>
  <si>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</si>
  <si>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</si>
  <si>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</si>
  <si>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</si>
  <si>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</si>
  <si>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</si>
  <si>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</si>
  <si>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</si>
  <si>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</si>
  <si>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</si>
  <si>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</si>
  <si>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</si>
  <si>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</si>
  <si>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</si>
  <si>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</si>
  <si>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</si>
  <si>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</si>
  <si>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</si>
  <si>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</si>
  <si>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</si>
  <si>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</si>
  <si>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</si>
  <si>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</si>
  <si>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</si>
  <si>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</si>
  <si>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</si>
  <si>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</si>
  <si>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</si>
  <si>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</si>
  <si>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</si>
  <si>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</si>
  <si>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</si>
  <si>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</si>
  <si>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</si>
  <si>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</si>
  <si>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</si>
  <si>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</si>
  <si>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</si>
  <si>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</si>
  <si>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</si>
  <si>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</si>
  <si>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</si>
  <si>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</si>
  <si>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</si>
  <si>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</si>
  <si>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</si>
  <si>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</si>
  <si>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</si>
  <si>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</si>
  <si>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</si>
  <si>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</si>
  <si>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</si>
  <si>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</si>
  <si>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</si>
  <si>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</si>
  <si>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</si>
  <si>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</si>
  <si>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</si>
  <si>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</si>
  <si>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</si>
  <si>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</si>
  <si>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</si>
  <si>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</si>
  <si>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</si>
  <si>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</si>
  <si>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</si>
  <si>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</si>
  <si>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</si>
  <si>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</si>
  <si>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</si>
  <si>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</si>
  <si>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</si>
  <si>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</si>
  <si>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</si>
  <si>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</si>
  <si>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</si>
  <si>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</si>
  <si>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</si>
  <si>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</si>
  <si>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</si>
  <si>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</si>
  <si>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</si>
  <si>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</si>
  <si>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</si>
  <si>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</si>
  <si>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</si>
  <si>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</si>
  <si>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</si>
  <si>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</si>
  <si>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</si>
  <si>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</si>
  <si>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</si>
  <si>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</si>
  <si>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</si>
  <si>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</si>
  <si>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</si>
  <si>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</si>
  <si>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</si>
  <si>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</si>
  <si>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</si>
  <si>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</si>
  <si>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</si>
  <si>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</si>
  <si>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</si>
  <si>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</si>
  <si>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</si>
  <si>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</si>
  <si>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</si>
  <si>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</si>
  <si>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</si>
  <si>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</si>
  <si>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</si>
  <si>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</si>
  <si>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</si>
  <si>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</si>
  <si>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</si>
  <si>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</si>
  <si>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</si>
  <si>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</si>
  <si>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</si>
  <si>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</si>
  <si>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</si>
  <si>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</si>
  <si>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</si>
  <si>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</si>
  <si>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</si>
  <si>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</si>
  <si>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</si>
  <si>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</si>
  <si>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</si>
  <si>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</si>
  <si>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</si>
  <si>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</si>
  <si>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</si>
  <si>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</si>
  <si>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</si>
  <si>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</si>
  <si>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</si>
  <si>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</si>
  <si>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</si>
  <si>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</si>
  <si>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</si>
  <si>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</si>
  <si>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</si>
  <si>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</si>
  <si>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</si>
  <si>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</si>
  <si>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</si>
  <si>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</si>
  <si>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</si>
  <si>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</si>
  <si>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</si>
  <si>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</si>
  <si>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</si>
  <si>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</si>
  <si>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</si>
  <si>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</si>
  <si>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</si>
  <si>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</si>
  <si>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</si>
  <si>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</si>
  <si>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</si>
  <si>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</si>
  <si>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</si>
  <si>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</si>
  <si>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</si>
  <si>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</si>
  <si>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</si>
  <si>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</si>
  <si>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</si>
  <si>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</si>
  <si>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</si>
  <si>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</si>
  <si>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</si>
  <si>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</si>
  <si>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</si>
  <si>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</si>
  <si>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</si>
  <si>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</si>
  <si>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</si>
  <si>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</si>
  <si>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</si>
  <si>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</si>
  <si>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</si>
  <si>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</si>
  <si>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</si>
  <si>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</si>
  <si>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</si>
  <si>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</si>
  <si>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</si>
  <si>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</si>
  <si>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</si>
  <si>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</si>
  <si>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</si>
  <si>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</si>
  <si>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</si>
  <si>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</si>
  <si>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</si>
  <si>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</si>
  <si>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</si>
  <si>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</si>
  <si>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</si>
  <si>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</si>
  <si>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</si>
  <si>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</si>
  <si>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</si>
  <si>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</si>
  <si>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</si>
  <si>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</si>
  <si>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</si>
  <si>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</si>
  <si>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</si>
  <si>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</si>
  <si>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</si>
  <si>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</si>
  <si>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</si>
  <si>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</si>
  <si>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</si>
  <si>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</si>
  <si>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</si>
  <si>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</si>
  <si>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</si>
  <si>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</si>
  <si>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</si>
  <si>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</si>
  <si>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</si>
  <si>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</si>
  <si>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</si>
  <si>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</si>
  <si>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</si>
  <si>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</si>
  <si>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</si>
  <si>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</si>
  <si>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</si>
  <si>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</si>
  <si>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</si>
  <si>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</si>
  <si>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</si>
  <si>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</si>
  <si>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</si>
  <si>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</si>
  <si>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</si>
  <si>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</si>
  <si>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</si>
  <si>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</si>
  <si>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</si>
  <si>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</si>
  <si>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</si>
  <si>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</si>
  <si>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</si>
  <si>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</si>
  <si>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</si>
  <si>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</si>
  <si>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</si>
  <si>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</si>
  <si>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</si>
  <si>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</si>
  <si>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</si>
  <si>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</si>
  <si>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</si>
  <si>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</si>
  <si>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</si>
  <si>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</si>
  <si>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</si>
  <si>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</si>
  <si>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</si>
  <si>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</si>
  <si>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</si>
  <si>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</si>
  <si>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</si>
  <si>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</si>
  <si>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</si>
  <si>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</si>
  <si>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</si>
  <si>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</si>
  <si>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</si>
  <si>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</si>
  <si>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</si>
  <si>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</si>
  <si>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</si>
  <si>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</si>
  <si>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</si>
  <si>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</si>
  <si>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</si>
  <si>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</si>
  <si>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</si>
  <si>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</si>
  <si>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</si>
  <si>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</si>
  <si>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</si>
  <si>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</si>
  <si>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</si>
  <si>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</si>
  <si>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</si>
  <si>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</si>
  <si>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</si>
  <si>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</si>
  <si>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</si>
  <si>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</si>
  <si>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</si>
  <si>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</si>
  <si>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</si>
  <si>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</si>
  <si>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</si>
  <si>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</si>
  <si>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</si>
  <si>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</si>
  <si>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</si>
  <si>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</si>
  <si>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</si>
  <si>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</si>
  <si>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</si>
  <si>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</si>
  <si>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</si>
  <si>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</si>
  <si>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</si>
  <si>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</si>
  <si>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</si>
  <si>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</si>
  <si>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</si>
  <si>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</si>
  <si>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</si>
  <si>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</si>
  <si>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</si>
  <si>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</si>
  <si>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</si>
  <si>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</si>
  <si>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</si>
  <si>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</si>
  <si>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</si>
  <si>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</si>
  <si>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</si>
  <si>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</si>
  <si>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</si>
  <si>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</si>
  <si>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</si>
  <si>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</si>
  <si>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</si>
  <si>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</si>
  <si>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</si>
  <si>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</si>
  <si>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</si>
  <si>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</si>
  <si>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</si>
  <si>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</si>
  <si>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</si>
  <si>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</si>
  <si>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</si>
  <si>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</si>
  <si>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</si>
  <si>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</si>
  <si>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</si>
  <si>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</si>
  <si>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</si>
  <si>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</si>
  <si>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</si>
  <si>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</si>
  <si>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</si>
  <si>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</si>
  <si>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</si>
  <si>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</si>
  <si>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</si>
  <si>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</si>
  <si>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</si>
  <si>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</si>
  <si>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</si>
  <si>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</si>
  <si>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</si>
  <si>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</si>
  <si>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</si>
  <si>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</si>
  <si>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</si>
  <si>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</si>
  <si>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</si>
  <si>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</si>
  <si>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</si>
  <si>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</si>
  <si>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</si>
  <si>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</si>
  <si>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</si>
  <si>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</si>
  <si>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</si>
  <si>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</si>
  <si>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</si>
  <si>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</si>
  <si>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</si>
  <si>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</si>
  <si>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</si>
  <si>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</si>
  <si>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</si>
  <si>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</si>
  <si>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</si>
  <si>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</si>
  <si>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</si>
  <si>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</si>
  <si>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</si>
  <si>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</si>
  <si>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</si>
  <si>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</si>
  <si>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</si>
  <si>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</si>
  <si>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</si>
  <si>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</si>
  <si>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</si>
  <si>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</si>
  <si>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</si>
  <si>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</si>
  <si>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</si>
  <si>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</si>
  <si>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</si>
  <si>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</si>
  <si>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</si>
  <si>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</si>
  <si>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</si>
  <si>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</si>
  <si>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</si>
  <si>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</si>
  <si>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</si>
  <si>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</si>
  <si>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</si>
  <si>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</si>
  <si>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</si>
  <si>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</si>
  <si>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</si>
  <si>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</si>
  <si>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</si>
  <si>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</si>
  <si>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</si>
  <si>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</si>
  <si>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</si>
  <si>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</si>
  <si>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</si>
  <si>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</si>
  <si>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</si>
  <si>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</si>
  <si>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</si>
  <si>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</si>
  <si>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</si>
  <si>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</si>
  <si>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</si>
  <si>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</si>
  <si>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</si>
  <si>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</si>
  <si>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</si>
  <si>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</si>
  <si>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</si>
  <si>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</si>
  <si>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</si>
  <si>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</si>
  <si>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</si>
  <si>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</si>
  <si>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</si>
  <si>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</si>
  <si>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</si>
  <si>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</si>
  <si>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</si>
  <si>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</si>
  <si>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</si>
  <si>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</si>
  <si>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</si>
  <si>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</si>
  <si>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</si>
  <si>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</si>
  <si>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</si>
  <si>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</si>
  <si>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</si>
  <si>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</si>
  <si>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</si>
  <si>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</si>
  <si>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</si>
  <si>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</si>
  <si>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</si>
  <si>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</si>
  <si>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</si>
  <si>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</si>
  <si>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</si>
  <si>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</si>
  <si>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</si>
  <si>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</si>
  <si>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</si>
  <si>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</si>
  <si>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</si>
  <si>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</si>
  <si>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</si>
  <si>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</si>
  <si>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</si>
  <si>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73040</t>
  </si>
  <si>
    <t>KORTESSEM</t>
  </si>
  <si>
    <t>Paarden&amp;pony's 200 - 600 kg</t>
  </si>
  <si>
    <t>Paarden&amp;pony's &lt; 200 kg</t>
  </si>
  <si>
    <t>Fluvius</t>
  </si>
  <si>
    <t>referentietaak LNE (2017); Jaarverslag De Lijn</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</si>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</sst>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89007.109751706943</c:v>
                </c:pt>
                <c:pt idx="1">
                  <c:v>13805.415025355771</c:v>
                </c:pt>
                <c:pt idx="2">
                  <c:v>455.05700000000002</c:v>
                </c:pt>
                <c:pt idx="3">
                  <c:v>23917.982997041618</c:v>
                </c:pt>
                <c:pt idx="4">
                  <c:v>2672.0234108236336</c:v>
                </c:pt>
                <c:pt idx="5">
                  <c:v>56428.77547176199</c:v>
                </c:pt>
                <c:pt idx="6">
                  <c:v>948.86316721820265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89007.109751706943</c:v>
                </c:pt>
                <c:pt idx="1">
                  <c:v>13805.415025355771</c:v>
                </c:pt>
                <c:pt idx="2">
                  <c:v>455.05700000000002</c:v>
                </c:pt>
                <c:pt idx="3">
                  <c:v>23917.982997041618</c:v>
                </c:pt>
                <c:pt idx="4">
                  <c:v>2672.0234108236336</c:v>
                </c:pt>
                <c:pt idx="5">
                  <c:v>56428.77547176199</c:v>
                </c:pt>
                <c:pt idx="6">
                  <c:v>948.86316721820265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16813.942582342024</c:v>
                </c:pt>
                <c:pt idx="2">
                  <c:v>1934.0077444286176</c:v>
                </c:pt>
                <c:pt idx="3">
                  <c:v>42.785765141133268</c:v>
                </c:pt>
                <c:pt idx="4">
                  <c:v>1794.1458572636554</c:v>
                </c:pt>
                <c:pt idx="5">
                  <c:v>456.85815368358408</c:v>
                </c:pt>
                <c:pt idx="6">
                  <c:v>14136.854906182758</c:v>
                </c:pt>
                <c:pt idx="7">
                  <c:v>239.64886589390812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16813.942582342024</c:v>
                </c:pt>
                <c:pt idx="2">
                  <c:v>1934.0077444286176</c:v>
                </c:pt>
                <c:pt idx="3">
                  <c:v>42.785765141133268</c:v>
                </c:pt>
                <c:pt idx="4">
                  <c:v>1794.1458572636554</c:v>
                </c:pt>
                <c:pt idx="5">
                  <c:v>456.85815368358408</c:v>
                </c:pt>
                <c:pt idx="6">
                  <c:v>14136.854906182758</c:v>
                </c:pt>
                <c:pt idx="7">
                  <c:v>239.64886589390812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73040</v>
      </c>
      <c r="B6" s="391"/>
      <c r="C6" s="392"/>
    </row>
    <row r="7" spans="1:7" s="389" customFormat="1" ht="15.75" customHeight="1">
      <c r="A7" s="393" t="str">
        <f>txtMunicipality</f>
        <v>KORTESSEM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9.4022869972625989E-2</v>
      </c>
      <c r="C17" s="499">
        <f ca="1">'EF ele_warmte'!B22</f>
        <v>2.2418289773042566E-4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9.4022869972625989E-2</v>
      </c>
      <c r="C29" s="500">
        <f ca="1">'EF ele_warmte'!B22</f>
        <v>2.2418289773042566E-4</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3376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1944</v>
      </c>
      <c r="C14" s="330"/>
      <c r="D14" s="330"/>
      <c r="E14" s="330"/>
      <c r="F14" s="330"/>
    </row>
    <row r="15" spans="1:6">
      <c r="A15" s="1305" t="s">
        <v>183</v>
      </c>
      <c r="B15" s="1306">
        <v>553</v>
      </c>
      <c r="C15" s="330"/>
      <c r="D15" s="330"/>
      <c r="E15" s="330"/>
      <c r="F15" s="330"/>
    </row>
    <row r="16" spans="1:6">
      <c r="A16" s="1305" t="s">
        <v>6</v>
      </c>
      <c r="B16" s="1306">
        <v>689</v>
      </c>
      <c r="C16" s="330"/>
      <c r="D16" s="330"/>
      <c r="E16" s="330"/>
      <c r="F16" s="330"/>
    </row>
    <row r="17" spans="1:6">
      <c r="A17" s="1305" t="s">
        <v>7</v>
      </c>
      <c r="B17" s="1306">
        <v>263</v>
      </c>
      <c r="C17" s="330"/>
      <c r="D17" s="330"/>
      <c r="E17" s="330"/>
      <c r="F17" s="330"/>
    </row>
    <row r="18" spans="1:6">
      <c r="A18" s="1305" t="s">
        <v>8</v>
      </c>
      <c r="B18" s="1306">
        <v>599</v>
      </c>
      <c r="C18" s="330"/>
      <c r="D18" s="330"/>
      <c r="E18" s="330"/>
      <c r="F18" s="330"/>
    </row>
    <row r="19" spans="1:6">
      <c r="A19" s="1305" t="s">
        <v>9</v>
      </c>
      <c r="B19" s="1306">
        <v>705</v>
      </c>
      <c r="C19" s="330"/>
      <c r="D19" s="330"/>
      <c r="E19" s="330"/>
      <c r="F19" s="330"/>
    </row>
    <row r="20" spans="1:6">
      <c r="A20" s="1305" t="s">
        <v>10</v>
      </c>
      <c r="B20" s="1306">
        <v>348</v>
      </c>
      <c r="C20" s="330"/>
      <c r="D20" s="330"/>
      <c r="E20" s="330"/>
      <c r="F20" s="330"/>
    </row>
    <row r="21" spans="1:6">
      <c r="A21" s="1305" t="s">
        <v>11</v>
      </c>
      <c r="B21" s="1306">
        <v>418</v>
      </c>
      <c r="C21" s="330"/>
      <c r="D21" s="330"/>
      <c r="E21" s="330"/>
      <c r="F21" s="330"/>
    </row>
    <row r="22" spans="1:6">
      <c r="A22" s="1305" t="s">
        <v>12</v>
      </c>
      <c r="B22" s="1306">
        <v>3237</v>
      </c>
      <c r="C22" s="330"/>
      <c r="D22" s="330"/>
      <c r="E22" s="330"/>
      <c r="F22" s="330"/>
    </row>
    <row r="23" spans="1:6">
      <c r="A23" s="1305" t="s">
        <v>13</v>
      </c>
      <c r="B23" s="1306">
        <v>45</v>
      </c>
      <c r="C23" s="330"/>
      <c r="D23" s="330"/>
      <c r="E23" s="330"/>
      <c r="F23" s="330"/>
    </row>
    <row r="24" spans="1:6">
      <c r="A24" s="1305" t="s">
        <v>14</v>
      </c>
      <c r="B24" s="1306">
        <v>2</v>
      </c>
      <c r="C24" s="330"/>
      <c r="D24" s="330"/>
      <c r="E24" s="330"/>
      <c r="F24" s="330"/>
    </row>
    <row r="25" spans="1:6">
      <c r="A25" s="1305" t="s">
        <v>15</v>
      </c>
      <c r="B25" s="1306">
        <v>259</v>
      </c>
      <c r="C25" s="330"/>
      <c r="D25" s="330"/>
      <c r="E25" s="330"/>
      <c r="F25" s="330"/>
    </row>
    <row r="26" spans="1:6">
      <c r="A26" s="1305" t="s">
        <v>16</v>
      </c>
      <c r="B26" s="1306">
        <v>63</v>
      </c>
      <c r="C26" s="330"/>
      <c r="D26" s="330"/>
      <c r="E26" s="330"/>
      <c r="F26" s="330"/>
    </row>
    <row r="27" spans="1:6">
      <c r="A27" s="1305" t="s">
        <v>17</v>
      </c>
      <c r="B27" s="1306">
        <v>0</v>
      </c>
      <c r="C27" s="330"/>
      <c r="D27" s="330"/>
      <c r="E27" s="330"/>
      <c r="F27" s="330"/>
    </row>
    <row r="28" spans="1:6" s="43" customFormat="1">
      <c r="A28" s="1307" t="s">
        <v>18</v>
      </c>
      <c r="B28" s="1308">
        <v>63955</v>
      </c>
      <c r="C28" s="336"/>
      <c r="D28" s="336"/>
      <c r="E28" s="336"/>
      <c r="F28" s="336"/>
    </row>
    <row r="29" spans="1:6">
      <c r="A29" s="1307" t="s">
        <v>909</v>
      </c>
      <c r="B29" s="1308">
        <v>107</v>
      </c>
      <c r="C29" s="336"/>
      <c r="D29" s="336"/>
      <c r="E29" s="336"/>
      <c r="F29" s="336"/>
    </row>
    <row r="30" spans="1:6">
      <c r="A30" s="1300" t="s">
        <v>910</v>
      </c>
      <c r="B30" s="1309">
        <v>45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5410</v>
      </c>
    </row>
    <row r="39" spans="1:6">
      <c r="A39" s="1305" t="s">
        <v>29</v>
      </c>
      <c r="B39" s="1305" t="s">
        <v>30</v>
      </c>
      <c r="C39" s="1306">
        <v>1334</v>
      </c>
      <c r="D39" s="1306">
        <v>20271074</v>
      </c>
      <c r="E39" s="1306">
        <v>3281</v>
      </c>
      <c r="F39" s="1306">
        <v>12018361</v>
      </c>
    </row>
    <row r="40" spans="1:6">
      <c r="A40" s="1305" t="s">
        <v>29</v>
      </c>
      <c r="B40" s="1305" t="s">
        <v>28</v>
      </c>
      <c r="C40" s="1306">
        <v>0</v>
      </c>
      <c r="D40" s="1306">
        <v>0</v>
      </c>
      <c r="E40" s="1306">
        <v>0</v>
      </c>
      <c r="F40" s="1306">
        <v>0</v>
      </c>
    </row>
    <row r="41" spans="1:6">
      <c r="A41" s="1305" t="s">
        <v>31</v>
      </c>
      <c r="B41" s="1305" t="s">
        <v>32</v>
      </c>
      <c r="C41" s="1306">
        <v>19</v>
      </c>
      <c r="D41" s="1306">
        <v>365388</v>
      </c>
      <c r="E41" s="1306">
        <v>67</v>
      </c>
      <c r="F41" s="1306">
        <v>505772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8</v>
      </c>
      <c r="F44" s="1306">
        <v>262572</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4</v>
      </c>
      <c r="D48" s="1306">
        <v>307230</v>
      </c>
      <c r="E48" s="1306">
        <v>3</v>
      </c>
      <c r="F48" s="1306">
        <v>137972</v>
      </c>
    </row>
    <row r="49" spans="1:6">
      <c r="A49" s="1305" t="s">
        <v>31</v>
      </c>
      <c r="B49" s="1305" t="s">
        <v>39</v>
      </c>
      <c r="C49" s="1306">
        <v>0</v>
      </c>
      <c r="D49" s="1306">
        <v>0</v>
      </c>
      <c r="E49" s="1306">
        <v>0</v>
      </c>
      <c r="F49" s="1306">
        <v>0</v>
      </c>
    </row>
    <row r="50" spans="1:6">
      <c r="A50" s="1305" t="s">
        <v>31</v>
      </c>
      <c r="B50" s="1305" t="s">
        <v>40</v>
      </c>
      <c r="C50" s="1306">
        <v>0</v>
      </c>
      <c r="D50" s="1306">
        <v>0</v>
      </c>
      <c r="E50" s="1306">
        <v>8</v>
      </c>
      <c r="F50" s="1306">
        <v>127103</v>
      </c>
    </row>
    <row r="51" spans="1:6">
      <c r="A51" s="1305" t="s">
        <v>41</v>
      </c>
      <c r="B51" s="1305" t="s">
        <v>42</v>
      </c>
      <c r="C51" s="1306">
        <v>7</v>
      </c>
      <c r="D51" s="1306">
        <v>123844</v>
      </c>
      <c r="E51" s="1306">
        <v>61</v>
      </c>
      <c r="F51" s="1306">
        <v>2143049</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52</v>
      </c>
      <c r="F54" s="1306">
        <v>455057</v>
      </c>
    </row>
    <row r="55" spans="1:6">
      <c r="A55" s="1305" t="s">
        <v>45</v>
      </c>
      <c r="B55" s="1305" t="s">
        <v>28</v>
      </c>
      <c r="C55" s="1306">
        <v>0</v>
      </c>
      <c r="D55" s="1306">
        <v>0</v>
      </c>
      <c r="E55" s="1306">
        <v>0</v>
      </c>
      <c r="F55" s="1306">
        <v>0</v>
      </c>
    </row>
    <row r="56" spans="1:6">
      <c r="A56" s="1305" t="s">
        <v>47</v>
      </c>
      <c r="B56" s="1305" t="s">
        <v>28</v>
      </c>
      <c r="C56" s="1306">
        <v>26</v>
      </c>
      <c r="D56" s="1306">
        <v>526772</v>
      </c>
      <c r="E56" s="1306">
        <v>85</v>
      </c>
      <c r="F56" s="1306">
        <v>451930</v>
      </c>
    </row>
    <row r="57" spans="1:6">
      <c r="A57" s="1305" t="s">
        <v>48</v>
      </c>
      <c r="B57" s="1305" t="s">
        <v>49</v>
      </c>
      <c r="C57" s="1306">
        <v>14</v>
      </c>
      <c r="D57" s="1306">
        <v>383241</v>
      </c>
      <c r="E57" s="1306">
        <v>40</v>
      </c>
      <c r="F57" s="1306">
        <v>1393997</v>
      </c>
    </row>
    <row r="58" spans="1:6">
      <c r="A58" s="1305" t="s">
        <v>48</v>
      </c>
      <c r="B58" s="1305" t="s">
        <v>50</v>
      </c>
      <c r="C58" s="1306">
        <v>13</v>
      </c>
      <c r="D58" s="1306">
        <v>738810</v>
      </c>
      <c r="E58" s="1306">
        <v>16</v>
      </c>
      <c r="F58" s="1306">
        <v>351618</v>
      </c>
    </row>
    <row r="59" spans="1:6">
      <c r="A59" s="1305" t="s">
        <v>48</v>
      </c>
      <c r="B59" s="1305" t="s">
        <v>51</v>
      </c>
      <c r="C59" s="1306">
        <v>25</v>
      </c>
      <c r="D59" s="1306">
        <v>694354</v>
      </c>
      <c r="E59" s="1306">
        <v>76</v>
      </c>
      <c r="F59" s="1306">
        <v>2162103</v>
      </c>
    </row>
    <row r="60" spans="1:6">
      <c r="A60" s="1305" t="s">
        <v>48</v>
      </c>
      <c r="B60" s="1305" t="s">
        <v>52</v>
      </c>
      <c r="C60" s="1306">
        <v>11</v>
      </c>
      <c r="D60" s="1306">
        <v>450444</v>
      </c>
      <c r="E60" s="1306">
        <v>23</v>
      </c>
      <c r="F60" s="1306">
        <v>387086</v>
      </c>
    </row>
    <row r="61" spans="1:6">
      <c r="A61" s="1305" t="s">
        <v>48</v>
      </c>
      <c r="B61" s="1305" t="s">
        <v>53</v>
      </c>
      <c r="C61" s="1306">
        <v>52</v>
      </c>
      <c r="D61" s="1306">
        <v>2809278</v>
      </c>
      <c r="E61" s="1306">
        <v>164</v>
      </c>
      <c r="F61" s="1306">
        <v>2095087</v>
      </c>
    </row>
    <row r="62" spans="1:6">
      <c r="A62" s="1305" t="s">
        <v>48</v>
      </c>
      <c r="B62" s="1305" t="s">
        <v>54</v>
      </c>
      <c r="C62" s="1306">
        <v>4</v>
      </c>
      <c r="D62" s="1306">
        <v>570378</v>
      </c>
      <c r="E62" s="1306">
        <v>3</v>
      </c>
      <c r="F62" s="1306">
        <v>229784</v>
      </c>
    </row>
    <row r="63" spans="1:6">
      <c r="A63" s="1305" t="s">
        <v>48</v>
      </c>
      <c r="B63" s="1305" t="s">
        <v>28</v>
      </c>
      <c r="C63" s="1306">
        <v>0</v>
      </c>
      <c r="D63" s="1306">
        <v>0</v>
      </c>
      <c r="E63" s="1306">
        <v>2</v>
      </c>
      <c r="F63" s="1306">
        <v>3034</v>
      </c>
    </row>
    <row r="64" spans="1:6">
      <c r="A64" s="1305" t="s">
        <v>55</v>
      </c>
      <c r="B64" s="1305" t="s">
        <v>56</v>
      </c>
      <c r="C64" s="1306">
        <v>0</v>
      </c>
      <c r="D64" s="1306">
        <v>0</v>
      </c>
      <c r="E64" s="1306">
        <v>0</v>
      </c>
      <c r="F64" s="1306">
        <v>0</v>
      </c>
    </row>
    <row r="65" spans="1:6">
      <c r="A65" s="1305" t="s">
        <v>55</v>
      </c>
      <c r="B65" s="1305" t="s">
        <v>28</v>
      </c>
      <c r="C65" s="1306">
        <v>2</v>
      </c>
      <c r="D65" s="1306">
        <v>36564</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8</v>
      </c>
      <c r="F68" s="1309">
        <v>62710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50401164</v>
      </c>
      <c r="E73" s="450"/>
      <c r="F73" s="330"/>
    </row>
    <row r="74" spans="1:6">
      <c r="A74" s="1305" t="s">
        <v>63</v>
      </c>
      <c r="B74" s="1305" t="s">
        <v>710</v>
      </c>
      <c r="C74" s="1319" t="s">
        <v>712</v>
      </c>
      <c r="D74" s="1320">
        <v>4697891.9903232148</v>
      </c>
      <c r="E74" s="450"/>
      <c r="F74" s="330"/>
    </row>
    <row r="75" spans="1:6">
      <c r="A75" s="1305" t="s">
        <v>64</v>
      </c>
      <c r="B75" s="1305" t="s">
        <v>709</v>
      </c>
      <c r="C75" s="1319" t="s">
        <v>713</v>
      </c>
      <c r="D75" s="1320">
        <v>14058914</v>
      </c>
      <c r="E75" s="450"/>
      <c r="F75" s="330"/>
    </row>
    <row r="76" spans="1:6">
      <c r="A76" s="1305" t="s">
        <v>64</v>
      </c>
      <c r="B76" s="1305" t="s">
        <v>710</v>
      </c>
      <c r="C76" s="1319" t="s">
        <v>714</v>
      </c>
      <c r="D76" s="1320">
        <v>10408.1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254770.01935357056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2554.706097344023</v>
      </c>
      <c r="C91" s="330"/>
      <c r="D91" s="330"/>
      <c r="E91" s="330"/>
      <c r="F91" s="330"/>
    </row>
    <row r="92" spans="1:6">
      <c r="A92" s="1300" t="s">
        <v>68</v>
      </c>
      <c r="B92" s="1301">
        <v>861.13139406695632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236</v>
      </c>
      <c r="C97" s="330"/>
      <c r="D97" s="330"/>
      <c r="E97" s="330"/>
      <c r="F97" s="330"/>
    </row>
    <row r="98" spans="1:6">
      <c r="A98" s="1305" t="s">
        <v>71</v>
      </c>
      <c r="B98" s="1306">
        <v>1</v>
      </c>
      <c r="C98" s="330"/>
      <c r="D98" s="330"/>
      <c r="E98" s="330"/>
      <c r="F98" s="330"/>
    </row>
    <row r="99" spans="1:6">
      <c r="A99" s="1305" t="s">
        <v>72</v>
      </c>
      <c r="B99" s="1306">
        <v>52</v>
      </c>
      <c r="C99" s="330"/>
      <c r="D99" s="330"/>
      <c r="E99" s="330"/>
      <c r="F99" s="330"/>
    </row>
    <row r="100" spans="1:6">
      <c r="A100" s="1305" t="s">
        <v>73</v>
      </c>
      <c r="B100" s="1306">
        <v>78</v>
      </c>
      <c r="C100" s="330"/>
      <c r="D100" s="330"/>
      <c r="E100" s="330"/>
      <c r="F100" s="330"/>
    </row>
    <row r="101" spans="1:6">
      <c r="A101" s="1305" t="s">
        <v>74</v>
      </c>
      <c r="B101" s="1306">
        <v>39</v>
      </c>
      <c r="C101" s="330"/>
      <c r="D101" s="330"/>
      <c r="E101" s="330"/>
      <c r="F101" s="330"/>
    </row>
    <row r="102" spans="1:6">
      <c r="A102" s="1305" t="s">
        <v>75</v>
      </c>
      <c r="B102" s="1306">
        <v>30</v>
      </c>
      <c r="C102" s="330"/>
      <c r="D102" s="330"/>
      <c r="E102" s="330"/>
      <c r="F102" s="330"/>
    </row>
    <row r="103" spans="1:6">
      <c r="A103" s="1305" t="s">
        <v>76</v>
      </c>
      <c r="B103" s="1306">
        <v>98</v>
      </c>
      <c r="C103" s="330"/>
      <c r="D103" s="330"/>
      <c r="E103" s="330"/>
      <c r="F103" s="330"/>
    </row>
    <row r="104" spans="1:6">
      <c r="A104" s="1305" t="s">
        <v>77</v>
      </c>
      <c r="B104" s="1306">
        <v>2326</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11</v>
      </c>
      <c r="D123" s="330"/>
      <c r="E123" s="330"/>
      <c r="F123" s="330"/>
    </row>
    <row r="124" spans="1:6" s="43" customFormat="1">
      <c r="A124" s="1307" t="s">
        <v>88</v>
      </c>
      <c r="B124" s="1328">
        <v>1</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70</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19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25286.524229641032</v>
      </c>
      <c r="C3" s="43" t="s">
        <v>169</v>
      </c>
      <c r="D3" s="43"/>
      <c r="E3" s="154"/>
      <c r="F3" s="43"/>
      <c r="G3" s="43"/>
      <c r="H3" s="43"/>
      <c r="I3" s="43"/>
      <c r="J3" s="43"/>
      <c r="K3" s="96"/>
    </row>
    <row r="4" spans="1:11">
      <c r="A4" s="359" t="s">
        <v>170</v>
      </c>
      <c r="B4" s="49">
        <f>IF(ISERROR('SEAP template'!B78+'SEAP template'!C78),0,'SEAP template'!B78+'SEAP template'!C78)</f>
        <v>14539.837491410979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2.4938105543532547</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9.4022869972625989E-2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3.5661894456467462</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15907.5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2.2418289773042566E-4</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455.05700000000002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455.05700000000002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9.4022869972625989E-2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42.785765141133268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12018.361000000001</v>
      </c>
      <c r="C5" s="17">
        <f>IF(ISERROR('Eigen informatie GS &amp; warmtenet'!B57),0,'Eigen informatie GS &amp; warmtenet'!B57)</f>
        <v>0</v>
      </c>
      <c r="D5" s="30">
        <f>(SUM(HH_hh_gas_kWh,HH_rest_gas_kWh)/1000)*0.902</f>
        <v>18284.508748</v>
      </c>
      <c r="E5" s="17">
        <f>B46*B57</f>
        <v>16535.326163720554</v>
      </c>
      <c r="F5" s="17">
        <f>B51*B62</f>
        <v>29950.378963616204</v>
      </c>
      <c r="G5" s="18"/>
      <c r="H5" s="17"/>
      <c r="I5" s="17"/>
      <c r="J5" s="17">
        <f>B50*B61+C50*C61</f>
        <v>0</v>
      </c>
      <c r="K5" s="17"/>
      <c r="L5" s="17"/>
      <c r="M5" s="17"/>
      <c r="N5" s="17">
        <f>B48*B59+C48*C59</f>
        <v>8943.005445692841</v>
      </c>
      <c r="O5" s="17">
        <f>B69*B70*B71</f>
        <v>129.75666666666669</v>
      </c>
      <c r="P5" s="17">
        <f>B77*B78*B79/1000-B77*B78*B79/1000/B80</f>
        <v>591.06666666666661</v>
      </c>
    </row>
    <row r="6" spans="1:16">
      <c r="A6" s="16" t="s">
        <v>630</v>
      </c>
      <c r="B6" s="763">
        <f>kWh_PV_kleiner_dan_10kW</f>
        <v>2554.706097344023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14573.067097344025</v>
      </c>
      <c r="C8" s="21">
        <f>C5</f>
        <v>0</v>
      </c>
      <c r="D8" s="21">
        <f>D5</f>
        <v>18284.508748</v>
      </c>
      <c r="E8" s="21">
        <f>E5</f>
        <v>16535.326163720554</v>
      </c>
      <c r="F8" s="21">
        <f>F5</f>
        <v>29950.378963616204</v>
      </c>
      <c r="G8" s="21"/>
      <c r="H8" s="21"/>
      <c r="I8" s="21"/>
      <c r="J8" s="21">
        <f>J5</f>
        <v>0</v>
      </c>
      <c r="K8" s="21"/>
      <c r="L8" s="21">
        <f>L5</f>
        <v>0</v>
      </c>
      <c r="M8" s="21">
        <f>M5</f>
        <v>0</v>
      </c>
      <c r="N8" s="21">
        <f>N5</f>
        <v>8943.005445692841</v>
      </c>
      <c r="O8" s="21">
        <f>O5</f>
        <v>129.75666666666669</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9.4022869972625989E-2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1370.2015927959312</v>
      </c>
      <c r="C12" s="23">
        <f ca="1">C10*C8</f>
        <v>0</v>
      </c>
      <c r="D12" s="23">
        <f>D8*D10</f>
        <v>3693.4707670960001</v>
      </c>
      <c r="E12" s="23">
        <f>E10*E8</f>
        <v>3753.519039164566</v>
      </c>
      <c r="F12" s="23">
        <f>F10*F8</f>
        <v>7996.7511832855271</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236</v>
      </c>
      <c r="C18" s="166" t="s">
        <v>110</v>
      </c>
      <c r="D18" s="228"/>
      <c r="E18" s="15"/>
    </row>
    <row r="19" spans="1:7">
      <c r="A19" s="171" t="s">
        <v>71</v>
      </c>
      <c r="B19" s="37">
        <f>aantalw2001_ander</f>
        <v>1</v>
      </c>
      <c r="C19" s="166" t="s">
        <v>110</v>
      </c>
      <c r="D19" s="229"/>
      <c r="E19" s="15"/>
    </row>
    <row r="20" spans="1:7">
      <c r="A20" s="171" t="s">
        <v>72</v>
      </c>
      <c r="B20" s="37">
        <f>aantalw2001_propaan</f>
        <v>52</v>
      </c>
      <c r="C20" s="167">
        <f>IF(ISERROR(B20/SUM($B$20,$B$21,$B$22)*100),0,B20/SUM($B$20,$B$21,$B$22)*100)</f>
        <v>30.76923076923077</v>
      </c>
      <c r="D20" s="229"/>
      <c r="E20" s="15"/>
    </row>
    <row r="21" spans="1:7">
      <c r="A21" s="171" t="s">
        <v>73</v>
      </c>
      <c r="B21" s="37">
        <f>aantalw2001_elektriciteit</f>
        <v>78</v>
      </c>
      <c r="C21" s="167">
        <f>IF(ISERROR(B21/SUM($B$20,$B$21,$B$22)*100),0,B21/SUM($B$20,$B$21,$B$22)*100)</f>
        <v>46.153846153846153</v>
      </c>
      <c r="D21" s="229"/>
      <c r="E21" s="15"/>
    </row>
    <row r="22" spans="1:7">
      <c r="A22" s="171" t="s">
        <v>74</v>
      </c>
      <c r="B22" s="37">
        <f>aantalw2001_hout</f>
        <v>39</v>
      </c>
      <c r="C22" s="167">
        <f>IF(ISERROR(B22/SUM($B$20,$B$21,$B$22)*100),0,B22/SUM($B$20,$B$21,$B$22)*100)</f>
        <v>23.076923076923077</v>
      </c>
      <c r="D22" s="229"/>
      <c r="E22" s="15"/>
    </row>
    <row r="23" spans="1:7">
      <c r="A23" s="171" t="s">
        <v>75</v>
      </c>
      <c r="B23" s="37">
        <f>aantalw2001_niet_gespec</f>
        <v>30</v>
      </c>
      <c r="C23" s="166" t="s">
        <v>110</v>
      </c>
      <c r="D23" s="228"/>
      <c r="E23" s="15"/>
    </row>
    <row r="24" spans="1:7">
      <c r="A24" s="171" t="s">
        <v>76</v>
      </c>
      <c r="B24" s="37">
        <f>aantalw2001_steenkool</f>
        <v>98</v>
      </c>
      <c r="C24" s="166" t="s">
        <v>110</v>
      </c>
      <c r="D24" s="229"/>
      <c r="E24" s="15"/>
    </row>
    <row r="25" spans="1:7">
      <c r="A25" s="171" t="s">
        <v>77</v>
      </c>
      <c r="B25" s="37">
        <f>aantalw2001_stookolie</f>
        <v>2326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3376</v>
      </c>
      <c r="C28" s="36"/>
      <c r="D28" s="228"/>
    </row>
    <row r="29" spans="1:7" s="15" customFormat="1">
      <c r="A29" s="230" t="s">
        <v>737</v>
      </c>
      <c r="B29" s="37">
        <f>SUM(HH_hh_gas_aantal,HH_rest_gas_aantal)</f>
        <v>1334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1334</v>
      </c>
      <c r="C32" s="167">
        <f>IF(ISERROR(B32/SUM($B$32,$B$34,$B$35,$B$36,$B$38,$B$39)*100),0,B32/SUM($B$32,$B$34,$B$35,$B$36,$B$38,$B$39)*100)</f>
        <v>39.880418535127056</v>
      </c>
      <c r="D32" s="233"/>
      <c r="G32" s="15"/>
    </row>
    <row r="33" spans="1:7">
      <c r="A33" s="171" t="s">
        <v>71</v>
      </c>
      <c r="B33" s="34" t="s">
        <v>110</v>
      </c>
      <c r="C33" s="167"/>
      <c r="D33" s="233"/>
      <c r="G33" s="15"/>
    </row>
    <row r="34" spans="1:7">
      <c r="A34" s="171" t="s">
        <v>72</v>
      </c>
      <c r="B34" s="33">
        <f>IF((($B$28-$B$32-$B$39-$B$77-$B$38)*C20/100)&lt;0,0,($B$28-$B$32-$B$39-$B$77-$B$38)*C20/100)</f>
        <v>207.13846153846157</v>
      </c>
      <c r="C34" s="167">
        <f>IF(ISERROR(B34/SUM($B$32,$B$34,$B$35,$B$36,$B$38,$B$39)*100),0,B34/SUM($B$32,$B$34,$B$35,$B$36,$B$38,$B$39)*100)</f>
        <v>6.1924801655743371</v>
      </c>
      <c r="D34" s="233"/>
      <c r="G34" s="15"/>
    </row>
    <row r="35" spans="1:7">
      <c r="A35" s="171" t="s">
        <v>73</v>
      </c>
      <c r="B35" s="33">
        <f>IF((($B$28-$B$32-$B$39-$B$77-$B$38)*C21/100)&lt;0,0,($B$28-$B$32-$B$39-$B$77-$B$38)*C21/100)</f>
        <v>310.70769230769235</v>
      </c>
      <c r="C35" s="167">
        <f>IF(ISERROR(B35/SUM($B$32,$B$34,$B$35,$B$36,$B$38,$B$39)*100),0,B35/SUM($B$32,$B$34,$B$35,$B$36,$B$38,$B$39)*100)</f>
        <v>9.2887202483615052</v>
      </c>
      <c r="D35" s="233"/>
      <c r="G35" s="15"/>
    </row>
    <row r="36" spans="1:7">
      <c r="A36" s="171" t="s">
        <v>74</v>
      </c>
      <c r="B36" s="33">
        <f>IF((($B$28-$B$32-$B$39-$B$77-$B$38)*C22/100)&lt;0,0,($B$28-$B$32-$B$39-$B$77-$B$38)*C22/100)</f>
        <v>155.35384615384618</v>
      </c>
      <c r="C36" s="167">
        <f>IF(ISERROR(B36/SUM($B$32,$B$34,$B$35,$B$36,$B$38,$B$39)*100),0,B36/SUM($B$32,$B$34,$B$35,$B$36,$B$38,$B$39)*100)</f>
        <v>4.6443601241807526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1337.8</v>
      </c>
      <c r="C39" s="167">
        <f>IF(ISERROR(B39/SUM($B$32,$B$34,$B$35,$B$36,$B$38,$B$39)*100),0,B39/SUM($B$32,$B$34,$B$35,$B$36,$B$38,$B$39)*100)</f>
        <v>39.994020926756349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1334</v>
      </c>
      <c r="C44" s="34" t="s">
        <v>110</v>
      </c>
      <c r="D44" s="174"/>
    </row>
    <row r="45" spans="1:7">
      <c r="A45" s="171" t="s">
        <v>71</v>
      </c>
      <c r="B45" s="33" t="str">
        <f t="shared" si="0"/>
        <v>-</v>
      </c>
      <c r="C45" s="34" t="s">
        <v>110</v>
      </c>
      <c r="D45" s="174"/>
    </row>
    <row r="46" spans="1:7">
      <c r="A46" s="171" t="s">
        <v>72</v>
      </c>
      <c r="B46" s="33">
        <f t="shared" si="0"/>
        <v>207.13846153846157</v>
      </c>
      <c r="C46" s="34" t="s">
        <v>110</v>
      </c>
      <c r="D46" s="174"/>
    </row>
    <row r="47" spans="1:7">
      <c r="A47" s="171" t="s">
        <v>73</v>
      </c>
      <c r="B47" s="33">
        <f t="shared" si="0"/>
        <v>310.70769230769235</v>
      </c>
      <c r="C47" s="34" t="s">
        <v>110</v>
      </c>
      <c r="D47" s="174"/>
    </row>
    <row r="48" spans="1:7">
      <c r="A48" s="171" t="s">
        <v>74</v>
      </c>
      <c r="B48" s="33">
        <f t="shared" si="0"/>
        <v>155.35384615384618</v>
      </c>
      <c r="C48" s="33">
        <f>B48*10</f>
        <v>1553.5384615384619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1337.8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6622.7089999999998</v>
      </c>
      <c r="C5" s="17">
        <f>IF(ISERROR('Eigen informatie GS &amp; warmtenet'!B58),0,'Eigen informatie GS &amp; warmtenet'!B58)</f>
        <v>0</v>
      </c>
      <c r="D5" s="30">
        <f>SUM(D6:D12)</f>
        <v>5093.1475099999998</v>
      </c>
      <c r="E5" s="17">
        <f>SUM(E6:E12)</f>
        <v>50.784833974911258</v>
      </c>
      <c r="F5" s="17">
        <f>SUM(F6:F12)</f>
        <v>1014.8976888493368</v>
      </c>
      <c r="G5" s="18"/>
      <c r="H5" s="17"/>
      <c r="I5" s="17"/>
      <c r="J5" s="17">
        <f>SUM(J6:J12)</f>
        <v>0</v>
      </c>
      <c r="K5" s="17"/>
      <c r="L5" s="17"/>
      <c r="M5" s="17"/>
      <c r="N5" s="17">
        <f>SUM(N6:N12)</f>
        <v>1023.8759925315247</v>
      </c>
      <c r="O5" s="17">
        <f>B38*B39*B40</f>
        <v>0</v>
      </c>
      <c r="P5" s="17">
        <f>B46*B47*B48/1000-B46*B47*B48/1000/B49</f>
        <v>0</v>
      </c>
      <c r="R5" s="32"/>
    </row>
    <row r="6" spans="1:18">
      <c r="A6" s="32" t="s">
        <v>53</v>
      </c>
      <c r="B6" s="37">
        <f>B26</f>
        <v>2095.087</v>
      </c>
      <c r="C6" s="33"/>
      <c r="D6" s="37">
        <f>IF(ISERROR(TER_kantoor_gas_kWh/1000),0,TER_kantoor_gas_kWh/1000)*0.902</f>
        <v>2533.9687559999998</v>
      </c>
      <c r="E6" s="33">
        <f>$C$26*'E Balans VL '!I12/100/3.6*1000000</f>
        <v>6.0697744318489306</v>
      </c>
      <c r="F6" s="33">
        <f>$C$26*('E Balans VL '!L12+'E Balans VL '!N12)/100/3.6*1000000</f>
        <v>237.11769005462526</v>
      </c>
      <c r="G6" s="34"/>
      <c r="H6" s="33"/>
      <c r="I6" s="33"/>
      <c r="J6" s="33">
        <f>$C$26*('E Balans VL '!D12+'E Balans VL '!E12)/100/3.6*1000000</f>
        <v>0</v>
      </c>
      <c r="K6" s="33"/>
      <c r="L6" s="33"/>
      <c r="M6" s="33"/>
      <c r="N6" s="33">
        <f>$C$26*'E Balans VL '!Y12/100/3.6*1000000</f>
        <v>20.970277140972801</v>
      </c>
      <c r="O6" s="33"/>
      <c r="P6" s="33"/>
      <c r="R6" s="32"/>
    </row>
    <row r="7" spans="1:18">
      <c r="A7" s="32" t="s">
        <v>52</v>
      </c>
      <c r="B7" s="37">
        <f t="shared" ref="B7:B12" si="0">B27</f>
        <v>387.08600000000001</v>
      </c>
      <c r="C7" s="33"/>
      <c r="D7" s="37">
        <f>IF(ISERROR(TER_horeca_gas_kWh/1000),0,TER_horeca_gas_kWh/1000)*0.902</f>
        <v>406.30048800000003</v>
      </c>
      <c r="E7" s="33">
        <f>$C$27*'E Balans VL '!I9/100/3.6*1000000</f>
        <v>16.248788783090522</v>
      </c>
      <c r="F7" s="33">
        <f>$C$27*('E Balans VL '!L9+'E Balans VL '!N9)/100/3.6*1000000</f>
        <v>83.173365046049142</v>
      </c>
      <c r="G7" s="34"/>
      <c r="H7" s="33"/>
      <c r="I7" s="33"/>
      <c r="J7" s="33">
        <f>$C$27*('E Balans VL '!D9+'E Balans VL '!E9)/100/3.6*1000000</f>
        <v>0</v>
      </c>
      <c r="K7" s="33"/>
      <c r="L7" s="33"/>
      <c r="M7" s="33"/>
      <c r="N7" s="33">
        <f>$C$27*'E Balans VL '!Y9/100/3.6*1000000</f>
        <v>9.9748677010124395E-2</v>
      </c>
      <c r="O7" s="33"/>
      <c r="P7" s="33"/>
      <c r="R7" s="32"/>
    </row>
    <row r="8" spans="1:18">
      <c r="A8" s="6" t="s">
        <v>51</v>
      </c>
      <c r="B8" s="37">
        <f t="shared" si="0"/>
        <v>2162.1030000000001</v>
      </c>
      <c r="C8" s="33"/>
      <c r="D8" s="37">
        <f>IF(ISERROR(TER_handel_gas_kWh/1000),0,TER_handel_gas_kWh/1000)*0.902</f>
        <v>626.30730800000003</v>
      </c>
      <c r="E8" s="33">
        <f>$C$28*'E Balans VL '!I13/100/3.6*1000000</f>
        <v>23.222785687174184</v>
      </c>
      <c r="F8" s="33">
        <f>$C$28*('E Balans VL '!L13+'E Balans VL '!N13)/100/3.6*1000000</f>
        <v>279.90208762851177</v>
      </c>
      <c r="G8" s="34"/>
      <c r="H8" s="33"/>
      <c r="I8" s="33"/>
      <c r="J8" s="33">
        <f>$C$28*('E Balans VL '!D13+'E Balans VL '!E13)/100/3.6*1000000</f>
        <v>0</v>
      </c>
      <c r="K8" s="33"/>
      <c r="L8" s="33"/>
      <c r="M8" s="33"/>
      <c r="N8" s="33">
        <f>$C$28*'E Balans VL '!Y13/100/3.6*1000000</f>
        <v>17.539097591956821</v>
      </c>
      <c r="O8" s="33"/>
      <c r="P8" s="33"/>
      <c r="R8" s="32"/>
    </row>
    <row r="9" spans="1:18">
      <c r="A9" s="32" t="s">
        <v>50</v>
      </c>
      <c r="B9" s="37">
        <f t="shared" si="0"/>
        <v>351.61799999999999</v>
      </c>
      <c r="C9" s="33"/>
      <c r="D9" s="37">
        <f>IF(ISERROR(TER_gezond_gas_kWh/1000),0,TER_gezond_gas_kWh/1000)*0.902</f>
        <v>666.40661999999998</v>
      </c>
      <c r="E9" s="33">
        <f>$C$29*'E Balans VL '!I10/100/3.6*1000000</f>
        <v>0.27991067004296266</v>
      </c>
      <c r="F9" s="33">
        <f>$C$29*('E Balans VL '!L10+'E Balans VL '!N10)/100/3.6*1000000</f>
        <v>42.744249237778149</v>
      </c>
      <c r="G9" s="34"/>
      <c r="H9" s="33"/>
      <c r="I9" s="33"/>
      <c r="J9" s="33">
        <f>$C$29*('E Balans VL '!D10+'E Balans VL '!E10)/100/3.6*1000000</f>
        <v>0</v>
      </c>
      <c r="K9" s="33"/>
      <c r="L9" s="33"/>
      <c r="M9" s="33"/>
      <c r="N9" s="33">
        <f>$C$29*'E Balans VL '!Y10/100/3.6*1000000</f>
        <v>2.8402770489315339</v>
      </c>
      <c r="O9" s="33"/>
      <c r="P9" s="33"/>
      <c r="R9" s="32"/>
    </row>
    <row r="10" spans="1:18">
      <c r="A10" s="32" t="s">
        <v>49</v>
      </c>
      <c r="B10" s="37">
        <f t="shared" si="0"/>
        <v>1393.9970000000001</v>
      </c>
      <c r="C10" s="33"/>
      <c r="D10" s="37">
        <f>IF(ISERROR(TER_ander_gas_kWh/1000),0,TER_ander_gas_kWh/1000)*0.902</f>
        <v>345.68338199999999</v>
      </c>
      <c r="E10" s="33">
        <f>$C$30*'E Balans VL '!I14/100/3.6*1000000</f>
        <v>4.7773009502151673</v>
      </c>
      <c r="F10" s="33">
        <f>$C$30*('E Balans VL '!L14+'E Balans VL '!N14)/100/3.6*1000000</f>
        <v>311.36228443454593</v>
      </c>
      <c r="G10" s="34"/>
      <c r="H10" s="33"/>
      <c r="I10" s="33"/>
      <c r="J10" s="33">
        <f>$C$30*('E Balans VL '!D14+'E Balans VL '!E14)/100/3.6*1000000</f>
        <v>0</v>
      </c>
      <c r="K10" s="33"/>
      <c r="L10" s="33"/>
      <c r="M10" s="33"/>
      <c r="N10" s="33">
        <f>$C$30*'E Balans VL '!Y14/100/3.6*1000000</f>
        <v>981.93910205675354</v>
      </c>
      <c r="O10" s="33"/>
      <c r="P10" s="33"/>
      <c r="R10" s="32"/>
    </row>
    <row r="11" spans="1:18">
      <c r="A11" s="32" t="s">
        <v>54</v>
      </c>
      <c r="B11" s="37">
        <f t="shared" si="0"/>
        <v>229.78399999999999</v>
      </c>
      <c r="C11" s="33"/>
      <c r="D11" s="37">
        <f>IF(ISERROR(TER_onderwijs_gas_kWh/1000),0,TER_onderwijs_gas_kWh/1000)*0.902</f>
        <v>514.48095600000011</v>
      </c>
      <c r="E11" s="33">
        <f>$C$31*'E Balans VL '!I11/100/3.6*1000000</f>
        <v>0.15884260240975218</v>
      </c>
      <c r="F11" s="33">
        <f>$C$31*('E Balans VL '!L11+'E Balans VL '!N11)/100/3.6*1000000</f>
        <v>60.150776427694169</v>
      </c>
      <c r="G11" s="34"/>
      <c r="H11" s="33"/>
      <c r="I11" s="33"/>
      <c r="J11" s="33">
        <f>$C$31*('E Balans VL '!D11+'E Balans VL '!E11)/100/3.6*1000000</f>
        <v>0</v>
      </c>
      <c r="K11" s="33"/>
      <c r="L11" s="33"/>
      <c r="M11" s="33"/>
      <c r="N11" s="33">
        <f>$C$31*'E Balans VL '!Y11/100/3.6*1000000</f>
        <v>0.22873040052561666</v>
      </c>
      <c r="O11" s="33"/>
      <c r="P11" s="33"/>
      <c r="R11" s="32"/>
    </row>
    <row r="12" spans="1:18">
      <c r="A12" s="32" t="s">
        <v>259</v>
      </c>
      <c r="B12" s="37">
        <f t="shared" si="0"/>
        <v>3.0339999999999998</v>
      </c>
      <c r="C12" s="33"/>
      <c r="D12" s="37">
        <f>IF(ISERROR(TER_rest_gas_kWh/1000),0,TER_rest_gas_kWh/1000)*0.902</f>
        <v>0</v>
      </c>
      <c r="E12" s="33">
        <f>$C$32*'E Balans VL '!I8/100/3.6*1000000</f>
        <v>2.7430850129740419E-2</v>
      </c>
      <c r="F12" s="33">
        <f>$C$32*('E Balans VL '!L8+'E Balans VL '!N8)/100/3.6*1000000</f>
        <v>0.44723602013242952</v>
      </c>
      <c r="G12" s="34"/>
      <c r="H12" s="33"/>
      <c r="I12" s="33"/>
      <c r="J12" s="33">
        <f>$C$32*('E Balans VL '!D8+'E Balans VL '!E8)/100/3.6*1000000</f>
        <v>0</v>
      </c>
      <c r="K12" s="33"/>
      <c r="L12" s="33"/>
      <c r="M12" s="33"/>
      <c r="N12" s="33">
        <f>$C$32*'E Balans VL '!Y8/100/3.6*1000000</f>
        <v>0.25875961537425257</v>
      </c>
      <c r="O12" s="33"/>
      <c r="P12" s="33"/>
      <c r="R12" s="32"/>
    </row>
    <row r="13" spans="1:18">
      <c r="A13" s="16" t="s">
        <v>493</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6622.7089999999998</v>
      </c>
      <c r="C16" s="21">
        <f t="shared" ca="1" si="1"/>
        <v>0</v>
      </c>
      <c r="D16" s="21">
        <f t="shared" ca="1" si="1"/>
        <v>5093.1475099999998</v>
      </c>
      <c r="E16" s="21">
        <f t="shared" si="1"/>
        <v>50.784833974911258</v>
      </c>
      <c r="F16" s="21">
        <f t="shared" ca="1" si="1"/>
        <v>1014.8976888493368</v>
      </c>
      <c r="G16" s="21">
        <f t="shared" si="1"/>
        <v>0</v>
      </c>
      <c r="H16" s="21">
        <f t="shared" si="1"/>
        <v>0</v>
      </c>
      <c r="I16" s="21">
        <f t="shared" si="1"/>
        <v>0</v>
      </c>
      <c r="J16" s="21">
        <f t="shared" si="1"/>
        <v>0</v>
      </c>
      <c r="K16" s="21">
        <f t="shared" si="1"/>
        <v>0</v>
      </c>
      <c r="L16" s="21">
        <f t="shared" ca="1" si="1"/>
        <v>0</v>
      </c>
      <c r="M16" s="21">
        <f t="shared" si="1"/>
        <v>0</v>
      </c>
      <c r="N16" s="21">
        <f t="shared" ca="1" si="1"/>
        <v>1023.8759925315247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9.4022869972625989E-2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622.68610717353988</v>
      </c>
      <c r="C20" s="23">
        <f t="shared" ref="C20:P20" ca="1" si="2">C16*C18</f>
        <v>0</v>
      </c>
      <c r="D20" s="23">
        <f t="shared" ca="1" si="2"/>
        <v>1028.81579702</v>
      </c>
      <c r="E20" s="23">
        <f t="shared" si="2"/>
        <v>11.528157312304856</v>
      </c>
      <c r="F20" s="23">
        <f t="shared" ca="1" si="2"/>
        <v>270.97768292277294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2095.087</v>
      </c>
      <c r="C26" s="39">
        <f>IF(ISERROR(B26*3.6/1000000/'E Balans VL '!Z12*100),0,B26*3.6/1000000/'E Balans VL '!Z12*100)</f>
        <v>4.6021008118120738E-2</v>
      </c>
      <c r="D26" s="237" t="s">
        <v>691</v>
      </c>
      <c r="F26" s="6"/>
    </row>
    <row r="27" spans="1:18">
      <c r="A27" s="231" t="s">
        <v>52</v>
      </c>
      <c r="B27" s="33">
        <f>IF(ISERROR(TER_horeca_ele_kWh/1000),0,TER_horeca_ele_kWh/1000)</f>
        <v>387.08600000000001</v>
      </c>
      <c r="C27" s="39">
        <f>IF(ISERROR(B27*3.6/1000000/'E Balans VL '!Z9*100),0,B27*3.6/1000000/'E Balans VL '!Z9*100)</f>
        <v>3.110621861882127E-2</v>
      </c>
      <c r="D27" s="237" t="s">
        <v>691</v>
      </c>
      <c r="F27" s="6"/>
    </row>
    <row r="28" spans="1:18">
      <c r="A28" s="171" t="s">
        <v>51</v>
      </c>
      <c r="B28" s="33">
        <f>IF(ISERROR(TER_handel_ele_kWh/1000),0,TER_handel_ele_kWh/1000)</f>
        <v>2162.1030000000001</v>
      </c>
      <c r="C28" s="39">
        <f>IF(ISERROR(B28*3.6/1000000/'E Balans VL '!Z13*100),0,B28*3.6/1000000/'E Balans VL '!Z13*100)</f>
        <v>6.3931875233129362E-2</v>
      </c>
      <c r="D28" s="237" t="s">
        <v>691</v>
      </c>
      <c r="F28" s="6"/>
    </row>
    <row r="29" spans="1:18">
      <c r="A29" s="231" t="s">
        <v>50</v>
      </c>
      <c r="B29" s="33">
        <f>IF(ISERROR(TER_gezond_ele_kWh/1000),0,TER_gezond_ele_kWh/1000)</f>
        <v>351.61799999999999</v>
      </c>
      <c r="C29" s="39">
        <f>IF(ISERROR(B29*3.6/1000000/'E Balans VL '!Z10*100),0,B29*3.6/1000000/'E Balans VL '!Z10*100)</f>
        <v>3.9618270623465658E-2</v>
      </c>
      <c r="D29" s="237" t="s">
        <v>691</v>
      </c>
      <c r="F29" s="6"/>
    </row>
    <row r="30" spans="1:18">
      <c r="A30" s="231" t="s">
        <v>49</v>
      </c>
      <c r="B30" s="33">
        <f>IF(ISERROR(TER_ander_ele_kWh/1000),0,TER_ander_ele_kWh/1000)</f>
        <v>1393.9970000000001</v>
      </c>
      <c r="C30" s="39">
        <f>IF(ISERROR(B30*3.6/1000000/'E Balans VL '!Z14*100),0,B30*3.6/1000000/'E Balans VL '!Z14*100)</f>
        <v>0.10542561017976562</v>
      </c>
      <c r="D30" s="237" t="s">
        <v>691</v>
      </c>
      <c r="F30" s="6"/>
    </row>
    <row r="31" spans="1:18">
      <c r="A31" s="231" t="s">
        <v>54</v>
      </c>
      <c r="B31" s="33">
        <f>IF(ISERROR(TER_onderwijs_ele_kWh/1000),0,TER_onderwijs_ele_kWh/1000)</f>
        <v>229.78399999999999</v>
      </c>
      <c r="C31" s="39">
        <f>IF(ISERROR(B31*3.6/1000000/'E Balans VL '!Z11*100),0,B31*3.6/1000000/'E Balans VL '!Z11*100)</f>
        <v>4.769782419343975E-2</v>
      </c>
      <c r="D31" s="237" t="s">
        <v>691</v>
      </c>
    </row>
    <row r="32" spans="1:18">
      <c r="A32" s="231" t="s">
        <v>259</v>
      </c>
      <c r="B32" s="33">
        <f>IF(ISERROR(TER_rest_ele_kWh/1000),0,TER_rest_ele_kWh/1000)</f>
        <v>3.0339999999999998</v>
      </c>
      <c r="C32" s="39">
        <f>IF(ISERROR(B32*3.6/1000000/'E Balans VL '!Z8*100),0,B32*3.6/1000000/'E Balans VL '!Z8*100)</f>
        <v>2.555966515824303E-5</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1033.4190000000001</v>
      </c>
      <c r="C5" s="17">
        <f>IF(ISERROR('Eigen informatie GS &amp; warmtenet'!B59),0,'Eigen informatie GS &amp; warmtenet'!B59)</f>
        <v>0</v>
      </c>
      <c r="D5" s="30">
        <f>SUM(D6:D15)</f>
        <v>606.70143600000006</v>
      </c>
      <c r="E5" s="17">
        <f>SUM(E6:E15)</f>
        <v>153.95262375556118</v>
      </c>
      <c r="F5" s="17">
        <f>SUM(F6:F15)</f>
        <v>752.47349948295903</v>
      </c>
      <c r="G5" s="18"/>
      <c r="H5" s="17"/>
      <c r="I5" s="17"/>
      <c r="J5" s="17">
        <f>SUM(J6:J15)</f>
        <v>3.6208287934473646</v>
      </c>
      <c r="K5" s="17"/>
      <c r="L5" s="17"/>
      <c r="M5" s="17"/>
      <c r="N5" s="17">
        <f>SUM(N6:N15)</f>
        <v>121.85602279166584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262.572</v>
      </c>
      <c r="C8" s="33"/>
      <c r="D8" s="37">
        <f>IF( ISERROR(IND_metaal_Gas_kWH/1000),0,IND_metaal_Gas_kWH/1000)*0.902</f>
        <v>0</v>
      </c>
      <c r="E8" s="33">
        <f>C30*'E Balans VL '!I18/100/3.6*1000000</f>
        <v>6.5712581776879118</v>
      </c>
      <c r="F8" s="33">
        <f>C30*'E Balans VL '!L18/100/3.6*1000000+C30*'E Balans VL '!N18/100/3.6*1000000</f>
        <v>82.291370900298091</v>
      </c>
      <c r="G8" s="34"/>
      <c r="H8" s="33"/>
      <c r="I8" s="33"/>
      <c r="J8" s="40">
        <f>C30*'E Balans VL '!D18/100/3.6*1000000+C30*'E Balans VL '!E18/100/3.6*1000000</f>
        <v>0</v>
      </c>
      <c r="K8" s="33"/>
      <c r="L8" s="33"/>
      <c r="M8" s="33"/>
      <c r="N8" s="33">
        <f>C30*'E Balans VL '!Y18/100/3.6*1000000</f>
        <v>6.5964900737614833</v>
      </c>
      <c r="O8" s="33"/>
      <c r="P8" s="33"/>
      <c r="R8" s="32"/>
    </row>
    <row r="9" spans="1:18">
      <c r="A9" s="6" t="s">
        <v>32</v>
      </c>
      <c r="B9" s="37">
        <f t="shared" si="0"/>
        <v>505.77199999999999</v>
      </c>
      <c r="C9" s="33"/>
      <c r="D9" s="37">
        <f>IF( ISERROR(IND_andere_gas_kWh/1000),0,IND_andere_gas_kWh/1000)*0.902</f>
        <v>329.57997599999999</v>
      </c>
      <c r="E9" s="33">
        <f>C31*'E Balans VL '!I19/100/3.6*1000000</f>
        <v>139.06655573330198</v>
      </c>
      <c r="F9" s="33">
        <f>C31*'E Balans VL '!L19/100/3.6*1000000+C31*'E Balans VL '!N19/100/3.6*1000000</f>
        <v>398.63634664698486</v>
      </c>
      <c r="G9" s="34"/>
      <c r="H9" s="33"/>
      <c r="I9" s="33"/>
      <c r="J9" s="40">
        <f>C31*'E Balans VL '!D19/100/3.6*1000000+C31*'E Balans VL '!E19/100/3.6*1000000</f>
        <v>0</v>
      </c>
      <c r="K9" s="33"/>
      <c r="L9" s="33"/>
      <c r="M9" s="33"/>
      <c r="N9" s="33">
        <f>C31*'E Balans VL '!Y19/100/3.6*1000000</f>
        <v>40.745311034993932</v>
      </c>
      <c r="O9" s="33"/>
      <c r="P9" s="33"/>
      <c r="R9" s="32"/>
    </row>
    <row r="10" spans="1:18">
      <c r="A10" s="6" t="s">
        <v>40</v>
      </c>
      <c r="B10" s="37">
        <f t="shared" si="0"/>
        <v>127.10299999999999</v>
      </c>
      <c r="C10" s="33"/>
      <c r="D10" s="37">
        <f>IF( ISERROR(IND_voed_gas_kWh/1000),0,IND_voed_gas_kWh/1000)*0.902</f>
        <v>0</v>
      </c>
      <c r="E10" s="33">
        <f>C32*'E Balans VL '!I20/100/3.6*1000000</f>
        <v>1.2957450635577559</v>
      </c>
      <c r="F10" s="33">
        <f>C32*'E Balans VL '!L20/100/3.6*1000000+C32*'E Balans VL '!N20/100/3.6*1000000</f>
        <v>240.09677204747254</v>
      </c>
      <c r="G10" s="34"/>
      <c r="H10" s="33"/>
      <c r="I10" s="33"/>
      <c r="J10" s="40">
        <f>C32*'E Balans VL '!D20/100/3.6*1000000+C32*'E Balans VL '!E20/100/3.6*1000000</f>
        <v>3.041990672898867</v>
      </c>
      <c r="K10" s="33"/>
      <c r="L10" s="33"/>
      <c r="M10" s="33"/>
      <c r="N10" s="33">
        <f>C32*'E Balans VL '!Y20/100/3.6*1000000</f>
        <v>66.99792147033331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137.97200000000001</v>
      </c>
      <c r="C15" s="33"/>
      <c r="D15" s="37">
        <f>IF( ISERROR(IND_rest_gas_kWh/1000),0,IND_rest_gas_kWh/1000)*0.902</f>
        <v>277.12146000000001</v>
      </c>
      <c r="E15" s="33">
        <f>C37*'E Balans VL '!I15/100/3.6*1000000</f>
        <v>7.0190647810135216</v>
      </c>
      <c r="F15" s="33">
        <f>C37*'E Balans VL '!L15/100/3.6*1000000+C37*'E Balans VL '!N15/100/3.6*1000000</f>
        <v>31.449009888203499</v>
      </c>
      <c r="G15" s="34"/>
      <c r="H15" s="33"/>
      <c r="I15" s="33"/>
      <c r="J15" s="40">
        <f>C37*'E Balans VL '!D15/100/3.6*1000000+C37*'E Balans VL '!E15/100/3.6*1000000</f>
        <v>0.57883812054849759</v>
      </c>
      <c r="K15" s="33"/>
      <c r="L15" s="33"/>
      <c r="M15" s="33"/>
      <c r="N15" s="33">
        <f>C37*'E Balans VL '!Y15/100/3.6*1000000</f>
        <v>7.5163002125771019</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1033.4190000000001</v>
      </c>
      <c r="C18" s="21">
        <f>C5+C16</f>
        <v>0</v>
      </c>
      <c r="D18" s="21">
        <f>MAX((D5+D16),0)</f>
        <v>606.70143600000006</v>
      </c>
      <c r="E18" s="21">
        <f>MAX((E5+E16),0)</f>
        <v>153.95262375556118</v>
      </c>
      <c r="F18" s="21">
        <f>MAX((F5+F16),0)</f>
        <v>752.47349948295903</v>
      </c>
      <c r="G18" s="21"/>
      <c r="H18" s="21"/>
      <c r="I18" s="21"/>
      <c r="J18" s="21">
        <f>MAX((J5+J16),0)</f>
        <v>3.6208287934473646</v>
      </c>
      <c r="K18" s="21"/>
      <c r="L18" s="21">
        <f>MAX((L5+L16),0)</f>
        <v>0</v>
      </c>
      <c r="M18" s="21"/>
      <c r="N18" s="21">
        <f>MAX((N5+N16),0)</f>
        <v>121.85602279166584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9.4022869972625989E-2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97.165020264241193</v>
      </c>
      <c r="C22" s="23">
        <f ca="1">C18*C20</f>
        <v>0</v>
      </c>
      <c r="D22" s="23">
        <f>D18*D20</f>
        <v>122.55369007200002</v>
      </c>
      <c r="E22" s="23">
        <f>E18*E20</f>
        <v>34.947245592512388</v>
      </c>
      <c r="F22" s="23">
        <f>F18*F20</f>
        <v>200.91042436195008</v>
      </c>
      <c r="G22" s="23"/>
      <c r="H22" s="23"/>
      <c r="I22" s="23"/>
      <c r="J22" s="23">
        <f>J18*J20</f>
        <v>1.281773392880367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262.572</v>
      </c>
      <c r="C30" s="39">
        <f>IF(ISERROR(B30*3.6/1000000/'E Balans VL '!Z18*100),0,B30*3.6/1000000/'E Balans VL '!Z18*100)</f>
        <v>3.6751329691432674E-2</v>
      </c>
      <c r="D30" s="237" t="s">
        <v>691</v>
      </c>
    </row>
    <row r="31" spans="1:18">
      <c r="A31" s="6" t="s">
        <v>32</v>
      </c>
      <c r="B31" s="37">
        <f>IF( ISERROR(IND_ander_ele_kWh/1000),0,IND_ander_ele_kWh/1000)</f>
        <v>505.77199999999999</v>
      </c>
      <c r="C31" s="39">
        <f>IF(ISERROR(B31*3.6/1000000/'E Balans VL '!Z19*100),0,B31*3.6/1000000/'E Balans VL '!Z19*100)</f>
        <v>2.2137558392124699E-2</v>
      </c>
      <c r="D31" s="237" t="s">
        <v>691</v>
      </c>
    </row>
    <row r="32" spans="1:18">
      <c r="A32" s="171" t="s">
        <v>40</v>
      </c>
      <c r="B32" s="37">
        <f>IF( ISERROR(IND_voed_ele_kWh/1000),0,IND_voed_ele_kWh/1000)</f>
        <v>127.10299999999999</v>
      </c>
      <c r="C32" s="39">
        <f>IF(ISERROR(B32*3.6/1000000/'E Balans VL '!Z20*100),0,B32*3.6/1000000/'E Balans VL '!Z20*100)</f>
        <v>3.1466481917567055E-2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137.97200000000001</v>
      </c>
      <c r="C37" s="39">
        <f>IF(ISERROR(B37*3.6/1000000/'E Balans VL '!Z15*100),0,B37*3.6/1000000/'E Balans VL '!Z15*100)</f>
        <v>1.0230387581940093E-3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2143.049</v>
      </c>
      <c r="C5" s="17">
        <f>'Eigen informatie GS &amp; warmtenet'!B60</f>
        <v>0</v>
      </c>
      <c r="D5" s="30">
        <f>IF(ISERROR(SUM(LB_lb_gas_kWh,LB_rest_gas_kWh)/1000),0,SUM(LB_lb_gas_kWh,LB_rest_gas_kWh)/1000)*0.902</f>
        <v>111.70728799999999</v>
      </c>
      <c r="E5" s="17">
        <f>B17*'E Balans VL '!I25/3.6*1000000/100</f>
        <v>19.849817429429532</v>
      </c>
      <c r="F5" s="17">
        <f>B17*('E Balans VL '!L25/3.6*1000000+'E Balans VL '!N25/3.6*1000000)/100</f>
        <v>5437.3235634155453</v>
      </c>
      <c r="G5" s="18"/>
      <c r="H5" s="17"/>
      <c r="I5" s="17"/>
      <c r="J5" s="17">
        <f>('E Balans VL '!D25+'E Balans VL '!E25)/3.6*1000000*landbouw!B17/100</f>
        <v>328.55332819664261</v>
      </c>
      <c r="K5" s="17"/>
      <c r="L5" s="17">
        <f>L6*(-1)</f>
        <v>0</v>
      </c>
      <c r="M5" s="17"/>
      <c r="N5" s="17">
        <f>N6*(-1)</f>
        <v>31770.000000000004</v>
      </c>
      <c r="O5" s="17"/>
      <c r="P5" s="17"/>
      <c r="R5" s="32"/>
    </row>
    <row r="6" spans="1:18">
      <c r="A6" s="16" t="s">
        <v>493</v>
      </c>
      <c r="B6" s="17" t="s">
        <v>210</v>
      </c>
      <c r="C6" s="17">
        <f>'lokale energieproductie'!O40+'lokale energieproductie'!O33</f>
        <v>15907.5</v>
      </c>
      <c r="D6" s="308">
        <f>('lokale energieproductie'!P33+'lokale energieproductie'!P40)*(-1)</f>
        <v>-30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2143.049</v>
      </c>
      <c r="C8" s="21">
        <f>C5+C6</f>
        <v>15907.5</v>
      </c>
      <c r="D8" s="21">
        <f>MAX((D5+D6),0)</f>
        <v>81.707287999999991</v>
      </c>
      <c r="E8" s="21">
        <f>MAX((E5+E6),0)</f>
        <v>19.849817429429532</v>
      </c>
      <c r="F8" s="21">
        <f>MAX((F5+F6),0)</f>
        <v>5437.3235634155453</v>
      </c>
      <c r="G8" s="21"/>
      <c r="H8" s="21"/>
      <c r="I8" s="21"/>
      <c r="J8" s="21">
        <f>MAX((J5+J6),0)</f>
        <v>328.55332819664261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9.4022869972625989E-2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201.49561747196614</v>
      </c>
      <c r="C12" s="23">
        <f ca="1">C8*C10</f>
        <v>3.5661894456467462</v>
      </c>
      <c r="D12" s="23">
        <f>D8*D10</f>
        <v>16.504872175999999</v>
      </c>
      <c r="E12" s="23">
        <f>E8*E10</f>
        <v>4.5059085564805041</v>
      </c>
      <c r="F12" s="23">
        <f>F8*F10</f>
        <v>1451.7653914319508</v>
      </c>
      <c r="G12" s="23"/>
      <c r="H12" s="23"/>
      <c r="I12" s="23"/>
      <c r="J12" s="23">
        <f>J8*J10</f>
        <v>116.30787818161147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0.30469612730685303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203.68436403498578</v>
      </c>
      <c r="C26" s="247">
        <f>B26*'GWP N2O_CH4'!B5</f>
        <v>4277.3716447347015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58.516387958880912</v>
      </c>
      <c r="C27" s="247">
        <f>B27*'GWP N2O_CH4'!B5</f>
        <v>1228.8441471364993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3.0670243568910176</v>
      </c>
      <c r="C28" s="247">
        <f>B28*'GWP N2O_CH4'!B4</f>
        <v>950.77755063621544</v>
      </c>
      <c r="D28" s="50"/>
    </row>
    <row r="29" spans="1:4">
      <c r="A29" s="41" t="s">
        <v>276</v>
      </c>
      <c r="B29" s="247">
        <f>B34*'ha_N2O bodem landbouw'!B4</f>
        <v>12.868866214913751</v>
      </c>
      <c r="C29" s="247">
        <f>B29*'GWP N2O_CH4'!B4</f>
        <v>3989.3485266232628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2.8862599771949829E-3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2.6255276269230696E-5</v>
      </c>
      <c r="C5" s="438" t="s">
        <v>210</v>
      </c>
      <c r="D5" s="423">
        <f>SUM(D6:D11)</f>
        <v>5.2933281332376675E-5</v>
      </c>
      <c r="E5" s="423">
        <f>SUM(E6:E11)</f>
        <v>5.037944217343367E-4</v>
      </c>
      <c r="F5" s="436" t="s">
        <v>210</v>
      </c>
      <c r="G5" s="423">
        <f>SUM(G6:G11)</f>
        <v>0.16023690289671758</v>
      </c>
      <c r="H5" s="423">
        <f>SUM(H6:H11)</f>
        <v>3.2055831870862438E-2</v>
      </c>
      <c r="I5" s="438" t="s">
        <v>210</v>
      </c>
      <c r="J5" s="438" t="s">
        <v>210</v>
      </c>
      <c r="K5" s="438" t="s">
        <v>210</v>
      </c>
      <c r="L5" s="438" t="s">
        <v>210</v>
      </c>
      <c r="M5" s="423">
        <f>SUM(M6:M11)</f>
        <v>1.0267873951427177E-2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2.0528930869596598E-5</v>
      </c>
      <c r="C6" s="424"/>
      <c r="D6" s="866">
        <f>vkm_GW_PW*SUMIFS(TableVerdeelsleutelVkm[CNG],TableVerdeelsleutelVkm[Voertuigtype],"Lichte voertuigen")*SUMIFS(TableECFTransport[EnergieConsumptieFactor (PJ per km)],TableECFTransport[Index],CONCATENATE($A6,"_CNG_CNG"))</f>
        <v>3.5822665909203373E-5</v>
      </c>
      <c r="E6" s="866">
        <f>vkm_GW_PW*SUMIFS(TableVerdeelsleutelVkm[LPG],TableVerdeelsleutelVkm[Voertuigtype],"Lichte voertuigen")*SUMIFS(TableECFTransport[EnergieConsumptieFactor (PJ per km)],TableECFTransport[Index],CONCATENATE($A6,"_LPG_LPG"))</f>
        <v>3.4696012875849041E-4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8.1541600377942225E-2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2.1937594167827999E-2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5.3967093293154694E-3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4.3971512239375753E-2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8.5274739044999003E-7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2.5493688706695931E-3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5.7263453996340996E-6</v>
      </c>
      <c r="C8" s="424"/>
      <c r="D8" s="426">
        <f>vkm_NGW_PW*SUMIFS(TableVerdeelsleutelVkm[CNG],TableVerdeelsleutelVkm[Voertuigtype],"Lichte voertuigen")*SUMIFS(TableECFTransport[EnergieConsumptieFactor (PJ per km)],TableECFTransport[Index],CONCATENATE($A8,"_CNG_CNG"))</f>
        <v>1.7110615423173303E-5</v>
      </c>
      <c r="E8" s="426">
        <f>vkm_NGW_PW*SUMIFS(TableVerdeelsleutelVkm[LPG],TableVerdeelsleutelVkm[Voertuigtype],"Lichte voertuigen")*SUMIFS(TableECFTransport[EnergieConsumptieFactor (PJ per km)],TableECFTransport[Index],CONCATENATE($A8,"_LPG_LPG"))</f>
        <v>1.5683429297584626E-4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3.4597927929796615E-2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1.0117381932205559E-2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2.3144985191865231E-3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1.2586234960296094E-4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3.0234384320307357E-9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7.2972322555916508E-6</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7.2931322970085271</v>
      </c>
      <c r="C14" s="21"/>
      <c r="D14" s="21">
        <f t="shared" ref="D14:M14" si="0">((D5)*10^9/3600)+D12</f>
        <v>14.703689258993521</v>
      </c>
      <c r="E14" s="21">
        <f t="shared" si="0"/>
        <v>139.94289492620464</v>
      </c>
      <c r="F14" s="21"/>
      <c r="G14" s="21">
        <f t="shared" si="0"/>
        <v>44510.250804643772</v>
      </c>
      <c r="H14" s="21">
        <f t="shared" si="0"/>
        <v>8904.3977419062339</v>
      </c>
      <c r="I14" s="21"/>
      <c r="J14" s="21"/>
      <c r="K14" s="21"/>
      <c r="L14" s="21"/>
      <c r="M14" s="21">
        <f t="shared" si="0"/>
        <v>2852.1872087297711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9.4022869972625989E-2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0.68572122965479188</v>
      </c>
      <c r="C18" s="23"/>
      <c r="D18" s="23">
        <f t="shared" ref="D18:M18" si="1">D14*D16</f>
        <v>2.9701452303166915</v>
      </c>
      <c r="E18" s="23">
        <f t="shared" si="1"/>
        <v>31.767037148248455</v>
      </c>
      <c r="F18" s="23"/>
      <c r="G18" s="23">
        <f t="shared" si="1"/>
        <v>11884.236964839887</v>
      </c>
      <c r="H18" s="23">
        <f t="shared" si="1"/>
        <v>2217.195037734652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3.231220663738087E-3</v>
      </c>
      <c r="H50" s="319">
        <f t="shared" si="2"/>
        <v>0</v>
      </c>
      <c r="I50" s="319">
        <f t="shared" si="2"/>
        <v>0</v>
      </c>
      <c r="J50" s="319">
        <f t="shared" si="2"/>
        <v>0</v>
      </c>
      <c r="K50" s="319">
        <f t="shared" si="2"/>
        <v>0</v>
      </c>
      <c r="L50" s="319">
        <f t="shared" si="2"/>
        <v>0</v>
      </c>
      <c r="M50" s="319">
        <f t="shared" si="2"/>
        <v>1.8468673824744266E-4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3.231220663738087E-3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1.8468673824744266E-4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897.56129548280194</v>
      </c>
      <c r="H54" s="21">
        <f t="shared" si="3"/>
        <v>0</v>
      </c>
      <c r="I54" s="21">
        <f t="shared" si="3"/>
        <v>0</v>
      </c>
      <c r="J54" s="21">
        <f t="shared" si="3"/>
        <v>0</v>
      </c>
      <c r="K54" s="21">
        <f t="shared" si="3"/>
        <v>0</v>
      </c>
      <c r="L54" s="21">
        <f t="shared" si="3"/>
        <v>0</v>
      </c>
      <c r="M54" s="21">
        <f t="shared" si="3"/>
        <v>51.301871735400745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9.4022869972625989E-2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239.64886589390812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7077.7659999999996</v>
      </c>
      <c r="D10" s="991">
        <f ca="1">tertiair!C16</f>
        <v>0</v>
      </c>
      <c r="E10" s="991">
        <f ca="1">tertiair!D16</f>
        <v>5093.1475099999998</v>
      </c>
      <c r="F10" s="991">
        <f>tertiair!E16</f>
        <v>50.784833974911258</v>
      </c>
      <c r="G10" s="991">
        <f ca="1">tertiair!F16</f>
        <v>1014.8976888493368</v>
      </c>
      <c r="H10" s="991">
        <f>tertiair!G16</f>
        <v>0</v>
      </c>
      <c r="I10" s="991">
        <f>tertiair!H16</f>
        <v>0</v>
      </c>
      <c r="J10" s="991">
        <f>tertiair!I16</f>
        <v>0</v>
      </c>
      <c r="K10" s="991">
        <f>tertiair!J16</f>
        <v>0</v>
      </c>
      <c r="L10" s="991">
        <f>tertiair!K16</f>
        <v>0</v>
      </c>
      <c r="M10" s="991">
        <f ca="1">tertiair!L16</f>
        <v>0</v>
      </c>
      <c r="N10" s="991">
        <f>tertiair!M16</f>
        <v>0</v>
      </c>
      <c r="O10" s="991">
        <f ca="1">tertiair!N16</f>
        <v>1023.8759925315247</v>
      </c>
      <c r="P10" s="991">
        <f>tertiair!O16</f>
        <v>0</v>
      </c>
      <c r="Q10" s="992">
        <f>tertiair!P16</f>
        <v>0</v>
      </c>
      <c r="R10" s="675">
        <f ca="1">SUM(C10:Q10)</f>
        <v>14260.47202535577</v>
      </c>
      <c r="S10" s="67"/>
    </row>
    <row r="11" spans="1:19" s="448" customFormat="1">
      <c r="A11" s="784" t="s">
        <v>224</v>
      </c>
      <c r="B11" s="789"/>
      <c r="C11" s="991">
        <f>huishoudens!B8</f>
        <v>14573.067097344025</v>
      </c>
      <c r="D11" s="991">
        <f>huishoudens!C8</f>
        <v>0</v>
      </c>
      <c r="E11" s="991">
        <f>huishoudens!D8</f>
        <v>18284.508748</v>
      </c>
      <c r="F11" s="991">
        <f>huishoudens!E8</f>
        <v>16535.326163720554</v>
      </c>
      <c r="G11" s="991">
        <f>huishoudens!F8</f>
        <v>29950.378963616204</v>
      </c>
      <c r="H11" s="991">
        <f>huishoudens!G8</f>
        <v>0</v>
      </c>
      <c r="I11" s="991">
        <f>huishoudens!H8</f>
        <v>0</v>
      </c>
      <c r="J11" s="991">
        <f>huishoudens!I8</f>
        <v>0</v>
      </c>
      <c r="K11" s="991">
        <f>huishoudens!J8</f>
        <v>0</v>
      </c>
      <c r="L11" s="991">
        <f>huishoudens!K8</f>
        <v>0</v>
      </c>
      <c r="M11" s="991">
        <f>huishoudens!L8</f>
        <v>0</v>
      </c>
      <c r="N11" s="991">
        <f>huishoudens!M8</f>
        <v>0</v>
      </c>
      <c r="O11" s="991">
        <f>huishoudens!N8</f>
        <v>8943.005445692841</v>
      </c>
      <c r="P11" s="991">
        <f>huishoudens!O8</f>
        <v>129.75666666666669</v>
      </c>
      <c r="Q11" s="992">
        <f>huishoudens!P8</f>
        <v>591.06666666666661</v>
      </c>
      <c r="R11" s="675">
        <f>SUM(C11:Q11)</f>
        <v>89007.109751706943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1033.4190000000001</v>
      </c>
      <c r="D13" s="991">
        <f>industrie!C18</f>
        <v>0</v>
      </c>
      <c r="E13" s="991">
        <f>industrie!D18</f>
        <v>606.70143600000006</v>
      </c>
      <c r="F13" s="991">
        <f>industrie!E18</f>
        <v>153.95262375556118</v>
      </c>
      <c r="G13" s="991">
        <f>industrie!F18</f>
        <v>752.47349948295903</v>
      </c>
      <c r="H13" s="991">
        <f>industrie!G18</f>
        <v>0</v>
      </c>
      <c r="I13" s="991">
        <f>industrie!H18</f>
        <v>0</v>
      </c>
      <c r="J13" s="991">
        <f>industrie!I18</f>
        <v>0</v>
      </c>
      <c r="K13" s="991">
        <f>industrie!J18</f>
        <v>3.6208287934473646</v>
      </c>
      <c r="L13" s="991">
        <f>industrie!K18</f>
        <v>0</v>
      </c>
      <c r="M13" s="991">
        <f>industrie!L18</f>
        <v>0</v>
      </c>
      <c r="N13" s="991">
        <f>industrie!M18</f>
        <v>0</v>
      </c>
      <c r="O13" s="991">
        <f>industrie!N18</f>
        <v>121.85602279166584</v>
      </c>
      <c r="P13" s="991">
        <f>industrie!O18</f>
        <v>0</v>
      </c>
      <c r="Q13" s="992">
        <f>industrie!P18</f>
        <v>0</v>
      </c>
      <c r="R13" s="675">
        <f>SUM(C13:Q13)</f>
        <v>2672.0234108236336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22684.252097344026</v>
      </c>
      <c r="D16" s="707">
        <f t="shared" ref="D16:R16" ca="1" si="0">SUM(D9:D15)</f>
        <v>0</v>
      </c>
      <c r="E16" s="707">
        <f t="shared" ca="1" si="0"/>
        <v>23984.357693999998</v>
      </c>
      <c r="F16" s="707">
        <f t="shared" si="0"/>
        <v>16740.063621451027</v>
      </c>
      <c r="G16" s="707">
        <f t="shared" ca="1" si="0"/>
        <v>31717.750151948501</v>
      </c>
      <c r="H16" s="707">
        <f t="shared" si="0"/>
        <v>0</v>
      </c>
      <c r="I16" s="707">
        <f t="shared" si="0"/>
        <v>0</v>
      </c>
      <c r="J16" s="707">
        <f t="shared" si="0"/>
        <v>0</v>
      </c>
      <c r="K16" s="707">
        <f t="shared" si="0"/>
        <v>3.6208287934473646</v>
      </c>
      <c r="L16" s="707">
        <f t="shared" si="0"/>
        <v>0</v>
      </c>
      <c r="M16" s="707">
        <f t="shared" ca="1" si="0"/>
        <v>0</v>
      </c>
      <c r="N16" s="707">
        <f t="shared" si="0"/>
        <v>0</v>
      </c>
      <c r="O16" s="707">
        <f t="shared" ca="1" si="0"/>
        <v>10088.737461016031</v>
      </c>
      <c r="P16" s="707">
        <f t="shared" si="0"/>
        <v>129.75666666666669</v>
      </c>
      <c r="Q16" s="707">
        <f t="shared" si="0"/>
        <v>591.06666666666661</v>
      </c>
      <c r="R16" s="707">
        <f t="shared" ca="1" si="0"/>
        <v>105939.60518788635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897.56129548280194</v>
      </c>
      <c r="I19" s="991">
        <f>transport!H54</f>
        <v>0</v>
      </c>
      <c r="J19" s="991">
        <f>transport!I54</f>
        <v>0</v>
      </c>
      <c r="K19" s="991">
        <f>transport!J54</f>
        <v>0</v>
      </c>
      <c r="L19" s="991">
        <f>transport!K54</f>
        <v>0</v>
      </c>
      <c r="M19" s="991">
        <f>transport!L54</f>
        <v>0</v>
      </c>
      <c r="N19" s="991">
        <f>transport!M54</f>
        <v>51.301871735400745</v>
      </c>
      <c r="O19" s="991">
        <f>transport!N54</f>
        <v>0</v>
      </c>
      <c r="P19" s="991">
        <f>transport!O54</f>
        <v>0</v>
      </c>
      <c r="Q19" s="992">
        <f>transport!P54</f>
        <v>0</v>
      </c>
      <c r="R19" s="675">
        <f>SUM(C19:Q19)</f>
        <v>948.86316721820265</v>
      </c>
      <c r="S19" s="67"/>
    </row>
    <row r="20" spans="1:19" s="448" customFormat="1">
      <c r="A20" s="784" t="s">
        <v>306</v>
      </c>
      <c r="B20" s="789"/>
      <c r="C20" s="991">
        <f>transport!B14</f>
        <v>7.2931322970085271</v>
      </c>
      <c r="D20" s="991">
        <f>transport!C14</f>
        <v>0</v>
      </c>
      <c r="E20" s="991">
        <f>transport!D14</f>
        <v>14.703689258993521</v>
      </c>
      <c r="F20" s="991">
        <f>transport!E14</f>
        <v>139.94289492620464</v>
      </c>
      <c r="G20" s="991">
        <f>transport!F14</f>
        <v>0</v>
      </c>
      <c r="H20" s="991">
        <f>transport!G14</f>
        <v>44510.250804643772</v>
      </c>
      <c r="I20" s="991">
        <f>transport!H14</f>
        <v>8904.3977419062339</v>
      </c>
      <c r="J20" s="991">
        <f>transport!I14</f>
        <v>0</v>
      </c>
      <c r="K20" s="991">
        <f>transport!J14</f>
        <v>0</v>
      </c>
      <c r="L20" s="991">
        <f>transport!K14</f>
        <v>0</v>
      </c>
      <c r="M20" s="991">
        <f>transport!L14</f>
        <v>0</v>
      </c>
      <c r="N20" s="991">
        <f>transport!M14</f>
        <v>2852.1872087297711</v>
      </c>
      <c r="O20" s="991">
        <f>transport!N14</f>
        <v>0</v>
      </c>
      <c r="P20" s="991">
        <f>transport!O14</f>
        <v>0</v>
      </c>
      <c r="Q20" s="992">
        <f>transport!P14</f>
        <v>0</v>
      </c>
      <c r="R20" s="675">
        <f>SUM(C20:Q20)</f>
        <v>56428.77547176199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7.2931322970085271</v>
      </c>
      <c r="D22" s="787">
        <f t="shared" ref="D22:R22" si="1">SUM(D18:D21)</f>
        <v>0</v>
      </c>
      <c r="E22" s="787">
        <f t="shared" si="1"/>
        <v>14.703689258993521</v>
      </c>
      <c r="F22" s="787">
        <f t="shared" si="1"/>
        <v>139.94289492620464</v>
      </c>
      <c r="G22" s="787">
        <f t="shared" si="1"/>
        <v>0</v>
      </c>
      <c r="H22" s="787">
        <f t="shared" si="1"/>
        <v>45407.812100126575</v>
      </c>
      <c r="I22" s="787">
        <f t="shared" si="1"/>
        <v>8904.3977419062339</v>
      </c>
      <c r="J22" s="787">
        <f t="shared" si="1"/>
        <v>0</v>
      </c>
      <c r="K22" s="787">
        <f t="shared" si="1"/>
        <v>0</v>
      </c>
      <c r="L22" s="787">
        <f t="shared" si="1"/>
        <v>0</v>
      </c>
      <c r="M22" s="787">
        <f t="shared" si="1"/>
        <v>0</v>
      </c>
      <c r="N22" s="787">
        <f t="shared" si="1"/>
        <v>2903.4890804651718</v>
      </c>
      <c r="O22" s="787">
        <f t="shared" si="1"/>
        <v>0</v>
      </c>
      <c r="P22" s="787">
        <f t="shared" si="1"/>
        <v>0</v>
      </c>
      <c r="Q22" s="787">
        <f t="shared" si="1"/>
        <v>0</v>
      </c>
      <c r="R22" s="787">
        <f t="shared" si="1"/>
        <v>57377.638638980192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2143.049</v>
      </c>
      <c r="D24" s="991">
        <f>+landbouw!C8</f>
        <v>15907.5</v>
      </c>
      <c r="E24" s="991">
        <f>+landbouw!D8</f>
        <v>81.707287999999991</v>
      </c>
      <c r="F24" s="991">
        <f>+landbouw!E8</f>
        <v>19.849817429429532</v>
      </c>
      <c r="G24" s="991">
        <f>+landbouw!F8</f>
        <v>5437.3235634155453</v>
      </c>
      <c r="H24" s="991">
        <f>+landbouw!G8</f>
        <v>0</v>
      </c>
      <c r="I24" s="991">
        <f>+landbouw!H8</f>
        <v>0</v>
      </c>
      <c r="J24" s="991">
        <f>+landbouw!I8</f>
        <v>0</v>
      </c>
      <c r="K24" s="991">
        <f>+landbouw!J8</f>
        <v>328.55332819664261</v>
      </c>
      <c r="L24" s="991">
        <f>+landbouw!K8</f>
        <v>0</v>
      </c>
      <c r="M24" s="991">
        <f>+landbouw!L8</f>
        <v>0</v>
      </c>
      <c r="N24" s="991">
        <f>+landbouw!M8</f>
        <v>0</v>
      </c>
      <c r="O24" s="991">
        <f>+landbouw!N8</f>
        <v>0</v>
      </c>
      <c r="P24" s="991">
        <f>+landbouw!O8</f>
        <v>0</v>
      </c>
      <c r="Q24" s="992">
        <f>+landbouw!P8</f>
        <v>0</v>
      </c>
      <c r="R24" s="675">
        <f>SUM(C24:Q24)</f>
        <v>23917.982997041618</v>
      </c>
      <c r="S24" s="67"/>
    </row>
    <row r="25" spans="1:19" s="448" customFormat="1" ht="15" thickBot="1">
      <c r="A25" s="806" t="s">
        <v>849</v>
      </c>
      <c r="B25" s="994"/>
      <c r="C25" s="995">
        <f>IF(Onbekend_ele_kWh="---",0,Onbekend_ele_kWh)/1000+IF(REST_rest_ele_kWh="---",0,REST_rest_ele_kWh)/1000</f>
        <v>451.93</v>
      </c>
      <c r="D25" s="995"/>
      <c r="E25" s="995">
        <f>IF(onbekend_gas_kWh="---",0,onbekend_gas_kWh)/1000+IF(REST_rest_gas_kWh="---",0,REST_rest_gas_kWh)/1000</f>
        <v>526.77200000000005</v>
      </c>
      <c r="F25" s="995"/>
      <c r="G25" s="995"/>
      <c r="H25" s="995"/>
      <c r="I25" s="995"/>
      <c r="J25" s="995"/>
      <c r="K25" s="995"/>
      <c r="L25" s="995"/>
      <c r="M25" s="995"/>
      <c r="N25" s="995"/>
      <c r="O25" s="995"/>
      <c r="P25" s="995"/>
      <c r="Q25" s="996"/>
      <c r="R25" s="675">
        <f>SUM(C25:Q25)</f>
        <v>978.702</v>
      </c>
      <c r="S25" s="67"/>
    </row>
    <row r="26" spans="1:19" s="448" customFormat="1" ht="15.75" thickBot="1">
      <c r="A26" s="680" t="s">
        <v>850</v>
      </c>
      <c r="B26" s="792"/>
      <c r="C26" s="787">
        <f>SUM(C24:C25)</f>
        <v>2594.9789999999998</v>
      </c>
      <c r="D26" s="787">
        <f t="shared" ref="D26:R26" si="2">SUM(D24:D25)</f>
        <v>15907.5</v>
      </c>
      <c r="E26" s="787">
        <f t="shared" si="2"/>
        <v>608.479288</v>
      </c>
      <c r="F26" s="787">
        <f t="shared" si="2"/>
        <v>19.849817429429532</v>
      </c>
      <c r="G26" s="787">
        <f t="shared" si="2"/>
        <v>5437.3235634155453</v>
      </c>
      <c r="H26" s="787">
        <f t="shared" si="2"/>
        <v>0</v>
      </c>
      <c r="I26" s="787">
        <f t="shared" si="2"/>
        <v>0</v>
      </c>
      <c r="J26" s="787">
        <f t="shared" si="2"/>
        <v>0</v>
      </c>
      <c r="K26" s="787">
        <f t="shared" si="2"/>
        <v>328.55332819664261</v>
      </c>
      <c r="L26" s="787">
        <f t="shared" si="2"/>
        <v>0</v>
      </c>
      <c r="M26" s="787">
        <f t="shared" si="2"/>
        <v>0</v>
      </c>
      <c r="N26" s="787">
        <f t="shared" si="2"/>
        <v>0</v>
      </c>
      <c r="O26" s="787">
        <f t="shared" si="2"/>
        <v>0</v>
      </c>
      <c r="P26" s="787">
        <f t="shared" si="2"/>
        <v>0</v>
      </c>
      <c r="Q26" s="787">
        <f t="shared" si="2"/>
        <v>0</v>
      </c>
      <c r="R26" s="787">
        <f t="shared" si="2"/>
        <v>24896.684997041619</v>
      </c>
      <c r="S26" s="67"/>
    </row>
    <row r="27" spans="1:19" s="448" customFormat="1" ht="17.25" thickTop="1" thickBot="1">
      <c r="A27" s="681" t="s">
        <v>115</v>
      </c>
      <c r="B27" s="780"/>
      <c r="C27" s="682">
        <f ca="1">C22+C16+C26</f>
        <v>25286.524229641032</v>
      </c>
      <c r="D27" s="682">
        <f t="shared" ref="D27:R27" ca="1" si="3">D22+D16+D26</f>
        <v>15907.5</v>
      </c>
      <c r="E27" s="682">
        <f t="shared" ca="1" si="3"/>
        <v>24607.54067125899</v>
      </c>
      <c r="F27" s="682">
        <f t="shared" si="3"/>
        <v>16899.85633380666</v>
      </c>
      <c r="G27" s="682">
        <f t="shared" ca="1" si="3"/>
        <v>37155.073715364044</v>
      </c>
      <c r="H27" s="682">
        <f t="shared" si="3"/>
        <v>45407.812100126575</v>
      </c>
      <c r="I27" s="682">
        <f t="shared" si="3"/>
        <v>8904.3977419062339</v>
      </c>
      <c r="J27" s="682">
        <f t="shared" si="3"/>
        <v>0</v>
      </c>
      <c r="K27" s="682">
        <f t="shared" si="3"/>
        <v>332.17415699008995</v>
      </c>
      <c r="L27" s="682">
        <f t="shared" si="3"/>
        <v>0</v>
      </c>
      <c r="M27" s="682">
        <f t="shared" ca="1" si="3"/>
        <v>0</v>
      </c>
      <c r="N27" s="682">
        <f t="shared" si="3"/>
        <v>2903.4890804651718</v>
      </c>
      <c r="O27" s="682">
        <f t="shared" ca="1" si="3"/>
        <v>10088.737461016031</v>
      </c>
      <c r="P27" s="682">
        <f t="shared" si="3"/>
        <v>129.75666666666669</v>
      </c>
      <c r="Q27" s="682">
        <f t="shared" si="3"/>
        <v>591.06666666666661</v>
      </c>
      <c r="R27" s="682">
        <f t="shared" ca="1" si="3"/>
        <v>188213.92882390818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665.47187231467319</v>
      </c>
      <c r="D40" s="991">
        <f ca="1">tertiair!C20</f>
        <v>0</v>
      </c>
      <c r="E40" s="991">
        <f ca="1">tertiair!D20</f>
        <v>1028.81579702</v>
      </c>
      <c r="F40" s="991">
        <f>tertiair!E20</f>
        <v>11.528157312304856</v>
      </c>
      <c r="G40" s="991">
        <f ca="1">tertiair!F20</f>
        <v>270.97768292277294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1976.7935095697508</v>
      </c>
    </row>
    <row r="41" spans="1:18">
      <c r="A41" s="797" t="s">
        <v>224</v>
      </c>
      <c r="B41" s="804"/>
      <c r="C41" s="991">
        <f ca="1">huishoudens!B12</f>
        <v>1370.2015927959312</v>
      </c>
      <c r="D41" s="991">
        <f ca="1">huishoudens!C12</f>
        <v>0</v>
      </c>
      <c r="E41" s="991">
        <f>huishoudens!D12</f>
        <v>3693.4707670960001</v>
      </c>
      <c r="F41" s="991">
        <f>huishoudens!E12</f>
        <v>3753.519039164566</v>
      </c>
      <c r="G41" s="991">
        <f>huishoudens!F12</f>
        <v>7996.7511832855271</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16813.942582342024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97.165020264241193</v>
      </c>
      <c r="D43" s="991">
        <f ca="1">industrie!C22</f>
        <v>0</v>
      </c>
      <c r="E43" s="991">
        <f>industrie!D22</f>
        <v>122.55369007200002</v>
      </c>
      <c r="F43" s="991">
        <f>industrie!E22</f>
        <v>34.947245592512388</v>
      </c>
      <c r="G43" s="991">
        <f>industrie!F22</f>
        <v>200.91042436195008</v>
      </c>
      <c r="H43" s="991">
        <f>industrie!G22</f>
        <v>0</v>
      </c>
      <c r="I43" s="991">
        <f>industrie!H22</f>
        <v>0</v>
      </c>
      <c r="J43" s="991">
        <f>industrie!I22</f>
        <v>0</v>
      </c>
      <c r="K43" s="991">
        <f>industrie!J22</f>
        <v>1.281773392880367</v>
      </c>
      <c r="L43" s="991">
        <f>industrie!K22</f>
        <v>0</v>
      </c>
      <c r="M43" s="991">
        <f>industrie!L22</f>
        <v>0</v>
      </c>
      <c r="N43" s="991">
        <f>industrie!M22</f>
        <v>0</v>
      </c>
      <c r="O43" s="991">
        <f>industrie!N22</f>
        <v>0</v>
      </c>
      <c r="P43" s="991">
        <f>industrie!O22</f>
        <v>0</v>
      </c>
      <c r="Q43" s="749">
        <f>industrie!P22</f>
        <v>0</v>
      </c>
      <c r="R43" s="824">
        <f t="shared" ca="1" si="4"/>
        <v>456.85815368358408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2132.8384853748457</v>
      </c>
      <c r="D46" s="707">
        <f t="shared" ref="D46:Q46" ca="1" si="5">SUM(D39:D45)</f>
        <v>0</v>
      </c>
      <c r="E46" s="707">
        <f t="shared" ca="1" si="5"/>
        <v>4844.8402541880005</v>
      </c>
      <c r="F46" s="707">
        <f t="shared" si="5"/>
        <v>3799.9944420693832</v>
      </c>
      <c r="G46" s="707">
        <f t="shared" ca="1" si="5"/>
        <v>8468.6392905702487</v>
      </c>
      <c r="H46" s="707">
        <f t="shared" si="5"/>
        <v>0</v>
      </c>
      <c r="I46" s="707">
        <f t="shared" si="5"/>
        <v>0</v>
      </c>
      <c r="J46" s="707">
        <f t="shared" si="5"/>
        <v>0</v>
      </c>
      <c r="K46" s="707">
        <f t="shared" si="5"/>
        <v>1.281773392880367</v>
      </c>
      <c r="L46" s="707">
        <f t="shared" si="5"/>
        <v>0</v>
      </c>
      <c r="M46" s="707">
        <f t="shared" ca="1" si="5"/>
        <v>0</v>
      </c>
      <c r="N46" s="707">
        <f t="shared" si="5"/>
        <v>0</v>
      </c>
      <c r="O46" s="707">
        <f t="shared" ca="1" si="5"/>
        <v>0</v>
      </c>
      <c r="P46" s="707">
        <f t="shared" si="5"/>
        <v>0</v>
      </c>
      <c r="Q46" s="707">
        <f t="shared" si="5"/>
        <v>0</v>
      </c>
      <c r="R46" s="707">
        <f ca="1">SUM(R39:R45)</f>
        <v>19247.594245595359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239.64886589390812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239.64886589390812</v>
      </c>
    </row>
    <row r="50" spans="1:18">
      <c r="A50" s="800" t="s">
        <v>306</v>
      </c>
      <c r="B50" s="810"/>
      <c r="C50" s="678">
        <f ca="1">transport!B18</f>
        <v>0.68572122965479188</v>
      </c>
      <c r="D50" s="678">
        <f>transport!C18</f>
        <v>0</v>
      </c>
      <c r="E50" s="678">
        <f>transport!D18</f>
        <v>2.9701452303166915</v>
      </c>
      <c r="F50" s="678">
        <f>transport!E18</f>
        <v>31.767037148248455</v>
      </c>
      <c r="G50" s="678">
        <f>transport!F18</f>
        <v>0</v>
      </c>
      <c r="H50" s="678">
        <f>transport!G18</f>
        <v>11884.236964839887</v>
      </c>
      <c r="I50" s="678">
        <f>transport!H18</f>
        <v>2217.195037734652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14136.854906182758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0.68572122965479188</v>
      </c>
      <c r="D52" s="707">
        <f t="shared" ref="D52:Q52" ca="1" si="6">SUM(D48:D51)</f>
        <v>0</v>
      </c>
      <c r="E52" s="707">
        <f t="shared" si="6"/>
        <v>2.9701452303166915</v>
      </c>
      <c r="F52" s="707">
        <f t="shared" si="6"/>
        <v>31.767037148248455</v>
      </c>
      <c r="G52" s="707">
        <f t="shared" si="6"/>
        <v>0</v>
      </c>
      <c r="H52" s="707">
        <f t="shared" si="6"/>
        <v>12123.885830733796</v>
      </c>
      <c r="I52" s="707">
        <f t="shared" si="6"/>
        <v>2217.195037734652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14376.503772076667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201.49561747196614</v>
      </c>
      <c r="D54" s="678">
        <f ca="1">+landbouw!C12</f>
        <v>3.5661894456467462</v>
      </c>
      <c r="E54" s="678">
        <f>+landbouw!D12</f>
        <v>16.504872175999999</v>
      </c>
      <c r="F54" s="678">
        <f>+landbouw!E12</f>
        <v>4.5059085564805041</v>
      </c>
      <c r="G54" s="678">
        <f>+landbouw!F12</f>
        <v>1451.7653914319508</v>
      </c>
      <c r="H54" s="678">
        <f>+landbouw!G12</f>
        <v>0</v>
      </c>
      <c r="I54" s="678">
        <f>+landbouw!H12</f>
        <v>0</v>
      </c>
      <c r="J54" s="678">
        <f>+landbouw!I12</f>
        <v>0</v>
      </c>
      <c r="K54" s="678">
        <f>+landbouw!J12</f>
        <v>116.30787818161147</v>
      </c>
      <c r="L54" s="678">
        <f>+landbouw!K12</f>
        <v>0</v>
      </c>
      <c r="M54" s="678">
        <f>+landbouw!L12</f>
        <v>0</v>
      </c>
      <c r="N54" s="678">
        <f>+landbouw!M12</f>
        <v>0</v>
      </c>
      <c r="O54" s="678">
        <f>+landbouw!N12</f>
        <v>0</v>
      </c>
      <c r="P54" s="678">
        <f>+landbouw!O12</f>
        <v>0</v>
      </c>
      <c r="Q54" s="679">
        <f>+landbouw!P12</f>
        <v>0</v>
      </c>
      <c r="R54" s="706">
        <f ca="1">SUM(C54:Q54)</f>
        <v>1794.1458572636554</v>
      </c>
    </row>
    <row r="55" spans="1:18" ht="15" thickBot="1">
      <c r="A55" s="800" t="s">
        <v>849</v>
      </c>
      <c r="B55" s="810"/>
      <c r="C55" s="678">
        <f ca="1">C25*'EF ele_warmte'!B12</f>
        <v>42.49175562672886</v>
      </c>
      <c r="D55" s="678"/>
      <c r="E55" s="678">
        <f>E25*EF_CO2_aardgas</f>
        <v>106.40794400000001</v>
      </c>
      <c r="F55" s="678"/>
      <c r="G55" s="678"/>
      <c r="H55" s="678"/>
      <c r="I55" s="678"/>
      <c r="J55" s="678"/>
      <c r="K55" s="678"/>
      <c r="L55" s="678"/>
      <c r="M55" s="678"/>
      <c r="N55" s="678"/>
      <c r="O55" s="678"/>
      <c r="P55" s="678"/>
      <c r="Q55" s="679"/>
      <c r="R55" s="706">
        <f ca="1">SUM(C55:Q55)</f>
        <v>148.89969962672888</v>
      </c>
    </row>
    <row r="56" spans="1:18" ht="15.75" thickBot="1">
      <c r="A56" s="798" t="s">
        <v>850</v>
      </c>
      <c r="B56" s="811"/>
      <c r="C56" s="707">
        <f ca="1">SUM(C54:C55)</f>
        <v>243.987373098695</v>
      </c>
      <c r="D56" s="707">
        <f t="shared" ref="D56:Q56" ca="1" si="7">SUM(D54:D55)</f>
        <v>3.5661894456467462</v>
      </c>
      <c r="E56" s="707">
        <f t="shared" si="7"/>
        <v>122.91281617600001</v>
      </c>
      <c r="F56" s="707">
        <f t="shared" si="7"/>
        <v>4.5059085564805041</v>
      </c>
      <c r="G56" s="707">
        <f t="shared" si="7"/>
        <v>1451.7653914319508</v>
      </c>
      <c r="H56" s="707">
        <f t="shared" si="7"/>
        <v>0</v>
      </c>
      <c r="I56" s="707">
        <f t="shared" si="7"/>
        <v>0</v>
      </c>
      <c r="J56" s="707">
        <f t="shared" si="7"/>
        <v>0</v>
      </c>
      <c r="K56" s="707">
        <f t="shared" si="7"/>
        <v>116.30787818161147</v>
      </c>
      <c r="L56" s="707">
        <f t="shared" si="7"/>
        <v>0</v>
      </c>
      <c r="M56" s="707">
        <f t="shared" si="7"/>
        <v>0</v>
      </c>
      <c r="N56" s="707">
        <f t="shared" si="7"/>
        <v>0</v>
      </c>
      <c r="O56" s="707">
        <f t="shared" si="7"/>
        <v>0</v>
      </c>
      <c r="P56" s="707">
        <f t="shared" si="7"/>
        <v>0</v>
      </c>
      <c r="Q56" s="708">
        <f t="shared" si="7"/>
        <v>0</v>
      </c>
      <c r="R56" s="709">
        <f ca="1">SUM(R54:R55)</f>
        <v>1943.0455568903844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2377.5115797031958</v>
      </c>
      <c r="D61" s="715">
        <f t="shared" ref="D61:Q61" ca="1" si="8">D46+D52+D56</f>
        <v>3.5661894456467462</v>
      </c>
      <c r="E61" s="715">
        <f t="shared" ca="1" si="8"/>
        <v>4970.7232155943175</v>
      </c>
      <c r="F61" s="715">
        <f t="shared" si="8"/>
        <v>3836.2673877741122</v>
      </c>
      <c r="G61" s="715">
        <f t="shared" ca="1" si="8"/>
        <v>9920.4046820021995</v>
      </c>
      <c r="H61" s="715">
        <f t="shared" si="8"/>
        <v>12123.885830733796</v>
      </c>
      <c r="I61" s="715">
        <f t="shared" si="8"/>
        <v>2217.195037734652</v>
      </c>
      <c r="J61" s="715">
        <f t="shared" si="8"/>
        <v>0</v>
      </c>
      <c r="K61" s="715">
        <f t="shared" si="8"/>
        <v>117.58965157449184</v>
      </c>
      <c r="L61" s="715">
        <f t="shared" si="8"/>
        <v>0</v>
      </c>
      <c r="M61" s="715">
        <f t="shared" ca="1" si="8"/>
        <v>0</v>
      </c>
      <c r="N61" s="715">
        <f t="shared" si="8"/>
        <v>0</v>
      </c>
      <c r="O61" s="715">
        <f t="shared" ca="1" si="8"/>
        <v>0</v>
      </c>
      <c r="P61" s="715">
        <f t="shared" si="8"/>
        <v>0</v>
      </c>
      <c r="Q61" s="715">
        <f t="shared" si="8"/>
        <v>0</v>
      </c>
      <c r="R61" s="715">
        <f ca="1">R46+R52+R56</f>
        <v>35567.143574562411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9.4022869972626003E-2</v>
      </c>
      <c r="D63" s="756">
        <f t="shared" ca="1" si="9"/>
        <v>2.2418289773042566E-4</v>
      </c>
      <c r="E63" s="1002">
        <f t="shared" ca="1" si="9"/>
        <v>0.20200000000000007</v>
      </c>
      <c r="F63" s="756">
        <f t="shared" si="9"/>
        <v>0.22700000000000004</v>
      </c>
      <c r="G63" s="756">
        <f t="shared" ca="1" si="9"/>
        <v>0.26700000000000002</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3415.8374914109791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11113.505660377359</v>
      </c>
      <c r="C76" s="725">
        <f>'lokale energieproductie'!B8*IFERROR(SUM(D76:H76)/SUM(D76:O76),0)</f>
        <v>10.494339622641508</v>
      </c>
      <c r="D76" s="1012">
        <f>'lokale energieproductie'!C8</f>
        <v>12.345596803728982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13073.987015148994</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2.4938105543532547</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14529.343151788338</v>
      </c>
      <c r="C78" s="730">
        <f>SUM(C72:C77)</f>
        <v>10.494339622641508</v>
      </c>
      <c r="D78" s="731">
        <f t="shared" ref="D78:H78" si="10">SUM(D76:D77)</f>
        <v>12.345596803728982</v>
      </c>
      <c r="E78" s="731">
        <f t="shared" si="10"/>
        <v>0</v>
      </c>
      <c r="F78" s="731">
        <f t="shared" si="10"/>
        <v>0</v>
      </c>
      <c r="G78" s="731">
        <f t="shared" si="10"/>
        <v>0</v>
      </c>
      <c r="H78" s="731">
        <f t="shared" si="10"/>
        <v>0</v>
      </c>
      <c r="I78" s="731">
        <f>SUM(I76:I77)</f>
        <v>0</v>
      </c>
      <c r="J78" s="731">
        <f>SUM(J76:J77)</f>
        <v>13073.987015148994</v>
      </c>
      <c r="K78" s="731">
        <f t="shared" ref="K78:L78" si="11">SUM(K76:K77)</f>
        <v>0</v>
      </c>
      <c r="L78" s="731">
        <f t="shared" si="11"/>
        <v>0</v>
      </c>
      <c r="M78" s="731">
        <f>SUM(M76:M77)</f>
        <v>0</v>
      </c>
      <c r="N78" s="731">
        <f>SUM(N76:N77)</f>
        <v>0</v>
      </c>
      <c r="O78" s="835">
        <f>SUM(O76:O77)</f>
        <v>0</v>
      </c>
      <c r="P78" s="732">
        <v>0</v>
      </c>
      <c r="Q78" s="732">
        <f>SUM(Q76:Q77)</f>
        <v>2.4938105543532547</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15892.492924528302</v>
      </c>
      <c r="C87" s="741">
        <f>'lokale energieproductie'!B17*IFERROR(SUM(D87:H87)/SUM(D87:O87),0)</f>
        <v>15.007075471698114</v>
      </c>
      <c r="D87" s="752">
        <f>'lokale energieproductie'!C17</f>
        <v>17.654403196271019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18696.012984851011</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3.5661894456467462</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15892.492924528302</v>
      </c>
      <c r="C90" s="730">
        <f>SUM(C87:C89)</f>
        <v>15.007075471698114</v>
      </c>
      <c r="D90" s="730">
        <f t="shared" ref="D90:H90" si="12">SUM(D87:D89)</f>
        <v>17.654403196271019</v>
      </c>
      <c r="E90" s="730">
        <f t="shared" si="12"/>
        <v>0</v>
      </c>
      <c r="F90" s="730">
        <f t="shared" si="12"/>
        <v>0</v>
      </c>
      <c r="G90" s="730">
        <f t="shared" si="12"/>
        <v>0</v>
      </c>
      <c r="H90" s="730">
        <f t="shared" si="12"/>
        <v>0</v>
      </c>
      <c r="I90" s="730">
        <f>SUM(I87:I89)</f>
        <v>0</v>
      </c>
      <c r="J90" s="730">
        <f>SUM(J87:J89)</f>
        <v>18696.012984851011</v>
      </c>
      <c r="K90" s="730">
        <f t="shared" ref="K90:L90" si="13">SUM(K87:K89)</f>
        <v>0</v>
      </c>
      <c r="L90" s="730">
        <f t="shared" si="13"/>
        <v>0</v>
      </c>
      <c r="M90" s="730">
        <f>SUM(M87:M89)</f>
        <v>0</v>
      </c>
      <c r="N90" s="730">
        <f>SUM(N87:N89)</f>
        <v>0</v>
      </c>
      <c r="O90" s="730">
        <f>SUM(O87:O89)</f>
        <v>0</v>
      </c>
      <c r="P90" s="730">
        <v>0</v>
      </c>
      <c r="Q90" s="730">
        <f>SUM(Q87:Q89)</f>
        <v>3.5661894456467462</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3415.8374914109791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11124</v>
      </c>
      <c r="C8" s="545">
        <f>B49</f>
        <v>12.345596803728982</v>
      </c>
      <c r="D8" s="1022"/>
      <c r="E8" s="1022">
        <f>E49</f>
        <v>0</v>
      </c>
      <c r="F8" s="1023"/>
      <c r="G8" s="546"/>
      <c r="H8" s="1022">
        <f>I49</f>
        <v>0</v>
      </c>
      <c r="I8" s="1022">
        <f>G49+F49</f>
        <v>0</v>
      </c>
      <c r="J8" s="1022">
        <f>H49+D49+C49</f>
        <v>13073.987015148994</v>
      </c>
      <c r="K8" s="1022"/>
      <c r="L8" s="1022"/>
      <c r="M8" s="1022"/>
      <c r="N8" s="547"/>
      <c r="O8" s="548">
        <f>C8*$C$12+D8*$D$12+E8*$E$12+F8*$F$12+G8*$G$12+H8*$H$12+I8*$I$12+J8*$J$12</f>
        <v>2.4938105543532547</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14539.837491410979</v>
      </c>
      <c r="C10" s="558">
        <f t="shared" ref="C10:L10" si="0">SUM(C8:C9)</f>
        <v>12.345596803728982</v>
      </c>
      <c r="D10" s="558">
        <f t="shared" si="0"/>
        <v>0</v>
      </c>
      <c r="E10" s="558">
        <f t="shared" si="0"/>
        <v>0</v>
      </c>
      <c r="F10" s="558">
        <f t="shared" si="0"/>
        <v>0</v>
      </c>
      <c r="G10" s="558">
        <f t="shared" si="0"/>
        <v>0</v>
      </c>
      <c r="H10" s="558">
        <f t="shared" si="0"/>
        <v>0</v>
      </c>
      <c r="I10" s="558">
        <f t="shared" si="0"/>
        <v>0</v>
      </c>
      <c r="J10" s="558">
        <f t="shared" si="0"/>
        <v>13073.987015148994</v>
      </c>
      <c r="K10" s="558">
        <f t="shared" si="0"/>
        <v>0</v>
      </c>
      <c r="L10" s="558">
        <f t="shared" si="0"/>
        <v>0</v>
      </c>
      <c r="M10" s="1025"/>
      <c r="N10" s="1025"/>
      <c r="O10" s="559">
        <f>SUM(O4:O9)</f>
        <v>2.4938105543532547</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15907.5</v>
      </c>
      <c r="C17" s="570">
        <f>B50</f>
        <v>17.654403196271019</v>
      </c>
      <c r="D17" s="571"/>
      <c r="E17" s="571">
        <f>E50</f>
        <v>0</v>
      </c>
      <c r="F17" s="1028"/>
      <c r="G17" s="572"/>
      <c r="H17" s="570">
        <f>I50</f>
        <v>0</v>
      </c>
      <c r="I17" s="571">
        <f>G50+F50</f>
        <v>0</v>
      </c>
      <c r="J17" s="571">
        <f>H50+D50+C50</f>
        <v>18696.012984851011</v>
      </c>
      <c r="K17" s="571"/>
      <c r="L17" s="571"/>
      <c r="M17" s="571"/>
      <c r="N17" s="1029"/>
      <c r="O17" s="573">
        <f>C17*$C$22+E17*$E$22+H17*$H$22+I17*$I$22+J17*$J$22+D17*$D$22+F17*$F$22+G17*$G$22+K17*$K$22+L17*$L$22</f>
        <v>3.5661894456467462</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15907.5</v>
      </c>
      <c r="C20" s="557">
        <f>SUM(C17:C19)</f>
        <v>17.654403196271019</v>
      </c>
      <c r="D20" s="557">
        <f t="shared" ref="D20:L20" si="1">SUM(D17:D19)</f>
        <v>0</v>
      </c>
      <c r="E20" s="557">
        <f t="shared" si="1"/>
        <v>0</v>
      </c>
      <c r="F20" s="557">
        <f t="shared" si="1"/>
        <v>0</v>
      </c>
      <c r="G20" s="557">
        <f t="shared" si="1"/>
        <v>0</v>
      </c>
      <c r="H20" s="557">
        <f t="shared" si="1"/>
        <v>0</v>
      </c>
      <c r="I20" s="557">
        <f t="shared" si="1"/>
        <v>0</v>
      </c>
      <c r="J20" s="557">
        <f t="shared" si="1"/>
        <v>18696.012984851011</v>
      </c>
      <c r="K20" s="557">
        <f t="shared" si="1"/>
        <v>0</v>
      </c>
      <c r="L20" s="557">
        <f t="shared" si="1"/>
        <v>0</v>
      </c>
      <c r="M20" s="557"/>
      <c r="N20" s="557"/>
      <c r="O20" s="576">
        <f>SUM(O17:O19)</f>
        <v>3.5661894456467462</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73040</v>
      </c>
      <c r="C28" s="771">
        <v>3724</v>
      </c>
      <c r="D28" s="628" t="s">
        <v>913</v>
      </c>
      <c r="E28" s="627" t="s">
        <v>914</v>
      </c>
      <c r="F28" s="627" t="s">
        <v>915</v>
      </c>
      <c r="G28" s="627" t="s">
        <v>916</v>
      </c>
      <c r="H28" s="627" t="s">
        <v>917</v>
      </c>
      <c r="I28" s="627" t="s">
        <v>918</v>
      </c>
      <c r="J28" s="770">
        <v>40717</v>
      </c>
      <c r="K28" s="770">
        <v>39951</v>
      </c>
      <c r="L28" s="627" t="s">
        <v>919</v>
      </c>
      <c r="M28" s="627">
        <v>2471</v>
      </c>
      <c r="N28" s="627">
        <v>11119.5</v>
      </c>
      <c r="O28" s="627">
        <v>15885</v>
      </c>
      <c r="P28" s="627">
        <v>0</v>
      </c>
      <c r="Q28" s="627">
        <v>31770.000000000004</v>
      </c>
      <c r="R28" s="627">
        <v>0</v>
      </c>
      <c r="S28" s="627">
        <v>0</v>
      </c>
      <c r="T28" s="627">
        <v>0</v>
      </c>
      <c r="U28" s="627">
        <v>0</v>
      </c>
      <c r="V28" s="627">
        <v>0</v>
      </c>
      <c r="W28" s="627">
        <v>0</v>
      </c>
      <c r="X28" s="627">
        <v>10</v>
      </c>
      <c r="Y28" s="627" t="s">
        <v>111</v>
      </c>
      <c r="Z28" s="629" t="s">
        <v>111</v>
      </c>
    </row>
    <row r="29" spans="1:26" s="581" customFormat="1" ht="25.5">
      <c r="A29" s="580"/>
      <c r="B29" s="771">
        <v>73040</v>
      </c>
      <c r="C29" s="771">
        <v>3721</v>
      </c>
      <c r="D29" s="628" t="s">
        <v>920</v>
      </c>
      <c r="E29" s="627" t="s">
        <v>921</v>
      </c>
      <c r="F29" s="627" t="s">
        <v>922</v>
      </c>
      <c r="G29" s="627" t="s">
        <v>923</v>
      </c>
      <c r="H29" s="627" t="s">
        <v>923</v>
      </c>
      <c r="I29" s="627" t="s">
        <v>921</v>
      </c>
      <c r="J29" s="770">
        <v>41073</v>
      </c>
      <c r="K29" s="770">
        <v>41214</v>
      </c>
      <c r="L29" s="627" t="s">
        <v>919</v>
      </c>
      <c r="M29" s="627">
        <v>1</v>
      </c>
      <c r="N29" s="627">
        <v>4.5</v>
      </c>
      <c r="O29" s="627">
        <v>22.5</v>
      </c>
      <c r="P29" s="627">
        <v>30</v>
      </c>
      <c r="Q29" s="627">
        <v>0</v>
      </c>
      <c r="R29" s="627">
        <v>0</v>
      </c>
      <c r="S29" s="627">
        <v>0</v>
      </c>
      <c r="T29" s="627">
        <v>0</v>
      </c>
      <c r="U29" s="627">
        <v>0</v>
      </c>
      <c r="V29" s="627">
        <v>0</v>
      </c>
      <c r="W29" s="627">
        <v>0</v>
      </c>
      <c r="X29" s="627">
        <v>10</v>
      </c>
      <c r="Y29" s="627" t="s">
        <v>111</v>
      </c>
      <c r="Z29" s="629" t="s">
        <v>111</v>
      </c>
    </row>
    <row r="30" spans="1:26" s="565" customFormat="1">
      <c r="A30" s="583" t="s">
        <v>279</v>
      </c>
      <c r="B30" s="584"/>
      <c r="C30" s="584"/>
      <c r="D30" s="584"/>
      <c r="E30" s="584"/>
      <c r="F30" s="584"/>
      <c r="G30" s="584"/>
      <c r="H30" s="584"/>
      <c r="I30" s="584"/>
      <c r="J30" s="584"/>
      <c r="K30" s="584"/>
      <c r="L30" s="585"/>
      <c r="M30" s="585">
        <f>SUM(M28:M29)</f>
        <v>2472</v>
      </c>
      <c r="N30" s="585">
        <f>SUM(N28:N29)</f>
        <v>11124</v>
      </c>
      <c r="O30" s="585">
        <f>SUM(O28:O29)</f>
        <v>15907.5</v>
      </c>
      <c r="P30" s="585">
        <f>SUM(P28:P29)</f>
        <v>30</v>
      </c>
      <c r="Q30" s="585">
        <f>SUM(Q28:Q29)</f>
        <v>31770.000000000004</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0</v>
      </c>
      <c r="N32" s="585">
        <f ca="1">SUMIF($Z$28:AD29,"tertiair",N28:N29)</f>
        <v>0</v>
      </c>
      <c r="O32" s="585">
        <f ca="1">SUMIF($Z$28:AE29,"tertiair",O28:O29)</f>
        <v>0</v>
      </c>
      <c r="P32" s="585">
        <f ca="1">SUMIF($Z$28:AF29,"tertiair",P28:P29)</f>
        <v>0</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2472</v>
      </c>
      <c r="N33" s="590">
        <f>SUMIF($Z$28:$Z$29,"landbouw",N28:N29)</f>
        <v>11124</v>
      </c>
      <c r="O33" s="590">
        <f>SUMIF($Z$28:$Z$29,"landbouw",O28:O29)</f>
        <v>15907.5</v>
      </c>
      <c r="P33" s="590">
        <f>SUMIF($Z$28:$Z$29,"landbouw",P28:P29)</f>
        <v>30</v>
      </c>
      <c r="Q33" s="590">
        <f>SUMIF($Z$28:$Z$29,"landbouw",Q28:Q29)</f>
        <v>31770.000000000004</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0.58848010654236727</v>
      </c>
      <c r="C46" s="610">
        <f>IF(ISERROR(N30/(O30+N30)),0,N30/(N30+O30))</f>
        <v>0.41151989345763273</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12.345596803728982</v>
      </c>
      <c r="C49" s="619">
        <f t="shared" si="2"/>
        <v>13073.987015148994</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17.654403196271019</v>
      </c>
      <c r="C50" s="622">
        <f t="shared" si="3"/>
        <v>18696.012984851011</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14573.067097344025</v>
      </c>
      <c r="C4" s="452">
        <f>huishoudens!C8</f>
        <v>0</v>
      </c>
      <c r="D4" s="452">
        <f>huishoudens!D8</f>
        <v>18284.508748</v>
      </c>
      <c r="E4" s="452">
        <f>huishoudens!E8</f>
        <v>16535.326163720554</v>
      </c>
      <c r="F4" s="452">
        <f>huishoudens!F8</f>
        <v>29950.378963616204</v>
      </c>
      <c r="G4" s="452">
        <f>huishoudens!G8</f>
        <v>0</v>
      </c>
      <c r="H4" s="452">
        <f>huishoudens!H8</f>
        <v>0</v>
      </c>
      <c r="I4" s="452">
        <f>huishoudens!I8</f>
        <v>0</v>
      </c>
      <c r="J4" s="452">
        <f>huishoudens!J8</f>
        <v>0</v>
      </c>
      <c r="K4" s="452">
        <f>huishoudens!K8</f>
        <v>0</v>
      </c>
      <c r="L4" s="452">
        <f>huishoudens!L8</f>
        <v>0</v>
      </c>
      <c r="M4" s="452">
        <f>huishoudens!M8</f>
        <v>0</v>
      </c>
      <c r="N4" s="452">
        <f>huishoudens!N8</f>
        <v>8943.005445692841</v>
      </c>
      <c r="O4" s="452">
        <f>huishoudens!O8</f>
        <v>129.75666666666669</v>
      </c>
      <c r="P4" s="453">
        <f>huishoudens!P8</f>
        <v>591.06666666666661</v>
      </c>
      <c r="Q4" s="454">
        <f>SUM(B4:P4)</f>
        <v>89007.109751706943</v>
      </c>
    </row>
    <row r="5" spans="1:17">
      <c r="A5" s="451" t="s">
        <v>155</v>
      </c>
      <c r="B5" s="452">
        <f ca="1">tertiair!B16</f>
        <v>6622.7089999999998</v>
      </c>
      <c r="C5" s="452">
        <f ca="1">tertiair!C16</f>
        <v>0</v>
      </c>
      <c r="D5" s="452">
        <f ca="1">tertiair!D16</f>
        <v>5093.1475099999998</v>
      </c>
      <c r="E5" s="452">
        <f>tertiair!E16</f>
        <v>50.784833974911258</v>
      </c>
      <c r="F5" s="452">
        <f ca="1">tertiair!F16</f>
        <v>1014.8976888493368</v>
      </c>
      <c r="G5" s="452">
        <f>tertiair!G16</f>
        <v>0</v>
      </c>
      <c r="H5" s="452">
        <f>tertiair!H16</f>
        <v>0</v>
      </c>
      <c r="I5" s="452">
        <f>tertiair!I16</f>
        <v>0</v>
      </c>
      <c r="J5" s="452">
        <f>tertiair!J16</f>
        <v>0</v>
      </c>
      <c r="K5" s="452">
        <f>tertiair!K16</f>
        <v>0</v>
      </c>
      <c r="L5" s="452">
        <f ca="1">tertiair!L16</f>
        <v>0</v>
      </c>
      <c r="M5" s="452">
        <f>tertiair!M16</f>
        <v>0</v>
      </c>
      <c r="N5" s="452">
        <f ca="1">tertiair!N16</f>
        <v>1023.8759925315247</v>
      </c>
      <c r="O5" s="452">
        <f>tertiair!O16</f>
        <v>0</v>
      </c>
      <c r="P5" s="453">
        <f>tertiair!P16</f>
        <v>0</v>
      </c>
      <c r="Q5" s="451">
        <f t="shared" ref="Q5:Q14" ca="1" si="0">SUM(B5:P5)</f>
        <v>13805.415025355771</v>
      </c>
    </row>
    <row r="6" spans="1:17">
      <c r="A6" s="451" t="s">
        <v>193</v>
      </c>
      <c r="B6" s="452">
        <f>'openbare verlichting'!B8</f>
        <v>455.05700000000002</v>
      </c>
      <c r="C6" s="452"/>
      <c r="D6" s="452"/>
      <c r="E6" s="452"/>
      <c r="F6" s="452"/>
      <c r="G6" s="452"/>
      <c r="H6" s="452"/>
      <c r="I6" s="452"/>
      <c r="J6" s="452"/>
      <c r="K6" s="452"/>
      <c r="L6" s="452"/>
      <c r="M6" s="452"/>
      <c r="N6" s="452"/>
      <c r="O6" s="452"/>
      <c r="P6" s="453"/>
      <c r="Q6" s="451">
        <f t="shared" si="0"/>
        <v>455.05700000000002</v>
      </c>
    </row>
    <row r="7" spans="1:17">
      <c r="A7" s="451" t="s">
        <v>111</v>
      </c>
      <c r="B7" s="452">
        <f>landbouw!B8</f>
        <v>2143.049</v>
      </c>
      <c r="C7" s="452">
        <f>landbouw!C8</f>
        <v>15907.5</v>
      </c>
      <c r="D7" s="452">
        <f>landbouw!D8</f>
        <v>81.707287999999991</v>
      </c>
      <c r="E7" s="452">
        <f>landbouw!E8</f>
        <v>19.849817429429532</v>
      </c>
      <c r="F7" s="452">
        <f>landbouw!F8</f>
        <v>5437.3235634155453</v>
      </c>
      <c r="G7" s="452">
        <f>landbouw!G8</f>
        <v>0</v>
      </c>
      <c r="H7" s="452">
        <f>landbouw!H8</f>
        <v>0</v>
      </c>
      <c r="I7" s="452">
        <f>landbouw!I8</f>
        <v>0</v>
      </c>
      <c r="J7" s="452">
        <f>landbouw!J8</f>
        <v>328.55332819664261</v>
      </c>
      <c r="K7" s="452">
        <f>landbouw!K8</f>
        <v>0</v>
      </c>
      <c r="L7" s="452">
        <f>landbouw!L8</f>
        <v>0</v>
      </c>
      <c r="M7" s="452">
        <f>landbouw!M8</f>
        <v>0</v>
      </c>
      <c r="N7" s="452">
        <f>landbouw!N8</f>
        <v>0</v>
      </c>
      <c r="O7" s="452">
        <f>landbouw!O8</f>
        <v>0</v>
      </c>
      <c r="P7" s="453">
        <f>landbouw!P8</f>
        <v>0</v>
      </c>
      <c r="Q7" s="451">
        <f t="shared" si="0"/>
        <v>23917.982997041618</v>
      </c>
    </row>
    <row r="8" spans="1:17">
      <c r="A8" s="451" t="s">
        <v>649</v>
      </c>
      <c r="B8" s="452">
        <f>industrie!B18</f>
        <v>1033.4190000000001</v>
      </c>
      <c r="C8" s="452">
        <f>industrie!C18</f>
        <v>0</v>
      </c>
      <c r="D8" s="452">
        <f>industrie!D18</f>
        <v>606.70143600000006</v>
      </c>
      <c r="E8" s="452">
        <f>industrie!E18</f>
        <v>153.95262375556118</v>
      </c>
      <c r="F8" s="452">
        <f>industrie!F18</f>
        <v>752.47349948295903</v>
      </c>
      <c r="G8" s="452">
        <f>industrie!G18</f>
        <v>0</v>
      </c>
      <c r="H8" s="452">
        <f>industrie!H18</f>
        <v>0</v>
      </c>
      <c r="I8" s="452">
        <f>industrie!I18</f>
        <v>0</v>
      </c>
      <c r="J8" s="452">
        <f>industrie!J18</f>
        <v>3.6208287934473646</v>
      </c>
      <c r="K8" s="452">
        <f>industrie!K18</f>
        <v>0</v>
      </c>
      <c r="L8" s="452">
        <f>industrie!L18</f>
        <v>0</v>
      </c>
      <c r="M8" s="452">
        <f>industrie!M18</f>
        <v>0</v>
      </c>
      <c r="N8" s="452">
        <f>industrie!N18</f>
        <v>121.85602279166584</v>
      </c>
      <c r="O8" s="452">
        <f>industrie!O18</f>
        <v>0</v>
      </c>
      <c r="P8" s="453">
        <f>industrie!P18</f>
        <v>0</v>
      </c>
      <c r="Q8" s="451">
        <f t="shared" si="0"/>
        <v>2672.0234108236336</v>
      </c>
    </row>
    <row r="9" spans="1:17" s="457" customFormat="1">
      <c r="A9" s="455" t="s">
        <v>570</v>
      </c>
      <c r="B9" s="456">
        <f>transport!B14</f>
        <v>7.2931322970085271</v>
      </c>
      <c r="C9" s="456">
        <f>transport!C14</f>
        <v>0</v>
      </c>
      <c r="D9" s="456">
        <f>transport!D14</f>
        <v>14.703689258993521</v>
      </c>
      <c r="E9" s="456">
        <f>transport!E14</f>
        <v>139.94289492620464</v>
      </c>
      <c r="F9" s="456">
        <f>transport!F14</f>
        <v>0</v>
      </c>
      <c r="G9" s="456">
        <f>transport!G14</f>
        <v>44510.250804643772</v>
      </c>
      <c r="H9" s="456">
        <f>transport!H14</f>
        <v>8904.3977419062339</v>
      </c>
      <c r="I9" s="456">
        <f>transport!I14</f>
        <v>0</v>
      </c>
      <c r="J9" s="456">
        <f>transport!J14</f>
        <v>0</v>
      </c>
      <c r="K9" s="456">
        <f>transport!K14</f>
        <v>0</v>
      </c>
      <c r="L9" s="456">
        <f>transport!L14</f>
        <v>0</v>
      </c>
      <c r="M9" s="456">
        <f>transport!M14</f>
        <v>2852.1872087297711</v>
      </c>
      <c r="N9" s="456">
        <f>transport!N14</f>
        <v>0</v>
      </c>
      <c r="O9" s="456">
        <f>transport!O14</f>
        <v>0</v>
      </c>
      <c r="P9" s="456">
        <f>transport!P14</f>
        <v>0</v>
      </c>
      <c r="Q9" s="455">
        <f>SUM(B9:P9)</f>
        <v>56428.77547176199</v>
      </c>
    </row>
    <row r="10" spans="1:17">
      <c r="A10" s="451" t="s">
        <v>560</v>
      </c>
      <c r="B10" s="452">
        <f>transport!B54</f>
        <v>0</v>
      </c>
      <c r="C10" s="452">
        <f>transport!C54</f>
        <v>0</v>
      </c>
      <c r="D10" s="452">
        <f>transport!D54</f>
        <v>0</v>
      </c>
      <c r="E10" s="452">
        <f>transport!E54</f>
        <v>0</v>
      </c>
      <c r="F10" s="452">
        <f>transport!F54</f>
        <v>0</v>
      </c>
      <c r="G10" s="452">
        <f>transport!G54</f>
        <v>897.56129548280194</v>
      </c>
      <c r="H10" s="452">
        <f>transport!H54</f>
        <v>0</v>
      </c>
      <c r="I10" s="452">
        <f>transport!I54</f>
        <v>0</v>
      </c>
      <c r="J10" s="452">
        <f>transport!J54</f>
        <v>0</v>
      </c>
      <c r="K10" s="452">
        <f>transport!K54</f>
        <v>0</v>
      </c>
      <c r="L10" s="452">
        <f>transport!L54</f>
        <v>0</v>
      </c>
      <c r="M10" s="452">
        <f>transport!M54</f>
        <v>51.301871735400745</v>
      </c>
      <c r="N10" s="452">
        <f>transport!N54</f>
        <v>0</v>
      </c>
      <c r="O10" s="452">
        <f>transport!O54</f>
        <v>0</v>
      </c>
      <c r="P10" s="453">
        <f>transport!P54</f>
        <v>0</v>
      </c>
      <c r="Q10" s="451">
        <f t="shared" si="0"/>
        <v>948.86316721820265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451.93</v>
      </c>
      <c r="C14" s="459"/>
      <c r="D14" s="459">
        <f>'SEAP template'!E25</f>
        <v>526.77200000000005</v>
      </c>
      <c r="E14" s="459"/>
      <c r="F14" s="459"/>
      <c r="G14" s="459"/>
      <c r="H14" s="459"/>
      <c r="I14" s="459"/>
      <c r="J14" s="459"/>
      <c r="K14" s="459"/>
      <c r="L14" s="459"/>
      <c r="M14" s="459"/>
      <c r="N14" s="459"/>
      <c r="O14" s="459"/>
      <c r="P14" s="460"/>
      <c r="Q14" s="451">
        <f t="shared" si="0"/>
        <v>978.702</v>
      </c>
    </row>
    <row r="15" spans="1:17" s="461" customFormat="1">
      <c r="A15" s="1017" t="s">
        <v>564</v>
      </c>
      <c r="B15" s="957">
        <f ca="1">SUM(B4:B14)</f>
        <v>25286.524229641032</v>
      </c>
      <c r="C15" s="957">
        <f t="shared" ref="C15:Q15" ca="1" si="1">SUM(C4:C14)</f>
        <v>15907.5</v>
      </c>
      <c r="D15" s="957">
        <f t="shared" ca="1" si="1"/>
        <v>24607.540671258994</v>
      </c>
      <c r="E15" s="957">
        <f t="shared" si="1"/>
        <v>16899.85633380666</v>
      </c>
      <c r="F15" s="957">
        <f t="shared" ca="1" si="1"/>
        <v>37155.073715364044</v>
      </c>
      <c r="G15" s="957">
        <f t="shared" si="1"/>
        <v>45407.812100126575</v>
      </c>
      <c r="H15" s="957">
        <f t="shared" si="1"/>
        <v>8904.3977419062339</v>
      </c>
      <c r="I15" s="957">
        <f t="shared" si="1"/>
        <v>0</v>
      </c>
      <c r="J15" s="957">
        <f t="shared" si="1"/>
        <v>332.17415699008995</v>
      </c>
      <c r="K15" s="957">
        <f t="shared" si="1"/>
        <v>0</v>
      </c>
      <c r="L15" s="957">
        <f t="shared" ca="1" si="1"/>
        <v>0</v>
      </c>
      <c r="M15" s="957">
        <f t="shared" si="1"/>
        <v>2903.4890804651718</v>
      </c>
      <c r="N15" s="957">
        <f t="shared" ca="1" si="1"/>
        <v>10088.737461016031</v>
      </c>
      <c r="O15" s="957">
        <f t="shared" si="1"/>
        <v>129.75666666666669</v>
      </c>
      <c r="P15" s="957">
        <f t="shared" si="1"/>
        <v>591.06666666666661</v>
      </c>
      <c r="Q15" s="957">
        <f t="shared" ca="1" si="1"/>
        <v>188213.92882390815</v>
      </c>
    </row>
    <row r="17" spans="1:17">
      <c r="A17" s="462" t="s">
        <v>565</v>
      </c>
      <c r="B17" s="761">
        <f ca="1">huishoudens!B10</f>
        <v>9.4022869972625989E-2</v>
      </c>
      <c r="C17" s="761">
        <f ca="1">huishoudens!C10</f>
        <v>2.2418289773042566E-4</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1370.2015927959312</v>
      </c>
      <c r="C22" s="452">
        <f t="shared" ref="C22:C32" ca="1" si="3">C4*$C$17</f>
        <v>0</v>
      </c>
      <c r="D22" s="452">
        <f t="shared" ref="D22:D32" si="4">D4*$D$17</f>
        <v>3693.4707670960001</v>
      </c>
      <c r="E22" s="452">
        <f t="shared" ref="E22:E32" si="5">E4*$E$17</f>
        <v>3753.519039164566</v>
      </c>
      <c r="F22" s="452">
        <f t="shared" ref="F22:F32" si="6">F4*$F$17</f>
        <v>7996.7511832855271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16813.942582342024</v>
      </c>
    </row>
    <row r="23" spans="1:17">
      <c r="A23" s="451" t="s">
        <v>155</v>
      </c>
      <c r="B23" s="452">
        <f t="shared" ca="1" si="2"/>
        <v>622.68610717353988</v>
      </c>
      <c r="C23" s="452">
        <f t="shared" ca="1" si="3"/>
        <v>0</v>
      </c>
      <c r="D23" s="452">
        <f t="shared" ca="1" si="4"/>
        <v>1028.81579702</v>
      </c>
      <c r="E23" s="452">
        <f t="shared" si="5"/>
        <v>11.528157312304856</v>
      </c>
      <c r="F23" s="452">
        <f t="shared" ca="1" si="6"/>
        <v>270.97768292277294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1934.0077444286176</v>
      </c>
    </row>
    <row r="24" spans="1:17">
      <c r="A24" s="451" t="s">
        <v>193</v>
      </c>
      <c r="B24" s="452">
        <f t="shared" ca="1" si="2"/>
        <v>42.785765141133268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42.785765141133268</v>
      </c>
    </row>
    <row r="25" spans="1:17">
      <c r="A25" s="451" t="s">
        <v>111</v>
      </c>
      <c r="B25" s="452">
        <f t="shared" ca="1" si="2"/>
        <v>201.49561747196614</v>
      </c>
      <c r="C25" s="452">
        <f t="shared" ca="1" si="3"/>
        <v>3.5661894456467462</v>
      </c>
      <c r="D25" s="452">
        <f t="shared" si="4"/>
        <v>16.504872175999999</v>
      </c>
      <c r="E25" s="452">
        <f t="shared" si="5"/>
        <v>4.5059085564805041</v>
      </c>
      <c r="F25" s="452">
        <f t="shared" si="6"/>
        <v>1451.7653914319508</v>
      </c>
      <c r="G25" s="452">
        <f t="shared" si="7"/>
        <v>0</v>
      </c>
      <c r="H25" s="452">
        <f t="shared" si="8"/>
        <v>0</v>
      </c>
      <c r="I25" s="452">
        <f t="shared" si="9"/>
        <v>0</v>
      </c>
      <c r="J25" s="452">
        <f t="shared" si="10"/>
        <v>116.30787818161147</v>
      </c>
      <c r="K25" s="452">
        <f t="shared" si="11"/>
        <v>0</v>
      </c>
      <c r="L25" s="452">
        <f t="shared" si="12"/>
        <v>0</v>
      </c>
      <c r="M25" s="452">
        <f t="shared" si="13"/>
        <v>0</v>
      </c>
      <c r="N25" s="452">
        <f t="shared" si="14"/>
        <v>0</v>
      </c>
      <c r="O25" s="452">
        <f t="shared" si="15"/>
        <v>0</v>
      </c>
      <c r="P25" s="453">
        <f t="shared" si="16"/>
        <v>0</v>
      </c>
      <c r="Q25" s="451">
        <f t="shared" ca="1" si="17"/>
        <v>1794.1458572636554</v>
      </c>
    </row>
    <row r="26" spans="1:17">
      <c r="A26" s="451" t="s">
        <v>649</v>
      </c>
      <c r="B26" s="452">
        <f t="shared" ca="1" si="2"/>
        <v>97.165020264241193</v>
      </c>
      <c r="C26" s="452">
        <f t="shared" ca="1" si="3"/>
        <v>0</v>
      </c>
      <c r="D26" s="452">
        <f t="shared" si="4"/>
        <v>122.55369007200002</v>
      </c>
      <c r="E26" s="452">
        <f t="shared" si="5"/>
        <v>34.947245592512388</v>
      </c>
      <c r="F26" s="452">
        <f t="shared" si="6"/>
        <v>200.91042436195008</v>
      </c>
      <c r="G26" s="452">
        <f t="shared" si="7"/>
        <v>0</v>
      </c>
      <c r="H26" s="452">
        <f t="shared" si="8"/>
        <v>0</v>
      </c>
      <c r="I26" s="452">
        <f t="shared" si="9"/>
        <v>0</v>
      </c>
      <c r="J26" s="452">
        <f t="shared" si="10"/>
        <v>1.281773392880367</v>
      </c>
      <c r="K26" s="452">
        <f t="shared" si="11"/>
        <v>0</v>
      </c>
      <c r="L26" s="452">
        <f t="shared" si="12"/>
        <v>0</v>
      </c>
      <c r="M26" s="452">
        <f t="shared" si="13"/>
        <v>0</v>
      </c>
      <c r="N26" s="452">
        <f t="shared" si="14"/>
        <v>0</v>
      </c>
      <c r="O26" s="452">
        <f t="shared" si="15"/>
        <v>0</v>
      </c>
      <c r="P26" s="453">
        <f t="shared" si="16"/>
        <v>0</v>
      </c>
      <c r="Q26" s="451">
        <f t="shared" ca="1" si="17"/>
        <v>456.85815368358408</v>
      </c>
    </row>
    <row r="27" spans="1:17" s="457" customFormat="1">
      <c r="A27" s="455" t="s">
        <v>570</v>
      </c>
      <c r="B27" s="755">
        <f t="shared" ca="1" si="2"/>
        <v>0.68572122965479188</v>
      </c>
      <c r="C27" s="456">
        <f t="shared" ca="1" si="3"/>
        <v>0</v>
      </c>
      <c r="D27" s="456">
        <f t="shared" si="4"/>
        <v>2.9701452303166915</v>
      </c>
      <c r="E27" s="456">
        <f t="shared" si="5"/>
        <v>31.767037148248455</v>
      </c>
      <c r="F27" s="456">
        <f t="shared" si="6"/>
        <v>0</v>
      </c>
      <c r="G27" s="456">
        <f t="shared" si="7"/>
        <v>11884.236964839887</v>
      </c>
      <c r="H27" s="456">
        <f t="shared" si="8"/>
        <v>2217.195037734652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14136.854906182758</v>
      </c>
    </row>
    <row r="28" spans="1:17">
      <c r="A28" s="451" t="s">
        <v>560</v>
      </c>
      <c r="B28" s="452">
        <f t="shared" ca="1" si="2"/>
        <v>0</v>
      </c>
      <c r="C28" s="452">
        <f t="shared" ca="1" si="3"/>
        <v>0</v>
      </c>
      <c r="D28" s="452">
        <f t="shared" si="4"/>
        <v>0</v>
      </c>
      <c r="E28" s="452">
        <f t="shared" si="5"/>
        <v>0</v>
      </c>
      <c r="F28" s="452">
        <f t="shared" si="6"/>
        <v>0</v>
      </c>
      <c r="G28" s="452">
        <f t="shared" si="7"/>
        <v>239.64886589390812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239.64886589390812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42.49175562672886</v>
      </c>
      <c r="C32" s="452">
        <f t="shared" ca="1" si="3"/>
        <v>0</v>
      </c>
      <c r="D32" s="452">
        <f t="shared" si="4"/>
        <v>106.40794400000001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148.89969962672888</v>
      </c>
    </row>
    <row r="33" spans="1:17" s="461" customFormat="1">
      <c r="A33" s="1017" t="s">
        <v>564</v>
      </c>
      <c r="B33" s="957">
        <f ca="1">SUM(B22:B32)</f>
        <v>2377.5115797031954</v>
      </c>
      <c r="C33" s="957">
        <f t="shared" ref="C33:Q33" ca="1" si="18">SUM(C22:C32)</f>
        <v>3.5661894456467462</v>
      </c>
      <c r="D33" s="957">
        <f t="shared" ca="1" si="18"/>
        <v>4970.7232155943175</v>
      </c>
      <c r="E33" s="957">
        <f t="shared" si="18"/>
        <v>3836.2673877741122</v>
      </c>
      <c r="F33" s="957">
        <f t="shared" ca="1" si="18"/>
        <v>9920.4046820021995</v>
      </c>
      <c r="G33" s="957">
        <f t="shared" si="18"/>
        <v>12123.885830733796</v>
      </c>
      <c r="H33" s="957">
        <f t="shared" si="18"/>
        <v>2217.195037734652</v>
      </c>
      <c r="I33" s="957">
        <f t="shared" si="18"/>
        <v>0</v>
      </c>
      <c r="J33" s="957">
        <f t="shared" si="18"/>
        <v>117.58965157449184</v>
      </c>
      <c r="K33" s="957">
        <f t="shared" si="18"/>
        <v>0</v>
      </c>
      <c r="L33" s="957">
        <f t="shared" ca="1" si="18"/>
        <v>0</v>
      </c>
      <c r="M33" s="957">
        <f t="shared" si="18"/>
        <v>0</v>
      </c>
      <c r="N33" s="957">
        <f t="shared" ca="1" si="18"/>
        <v>0</v>
      </c>
      <c r="O33" s="957">
        <f t="shared" si="18"/>
        <v>0</v>
      </c>
      <c r="P33" s="957">
        <f t="shared" si="18"/>
        <v>0</v>
      </c>
      <c r="Q33" s="957">
        <f t="shared" ca="1" si="18"/>
        <v>35567.143574562411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3415.8374914109791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11113.505660377359</v>
      </c>
      <c r="C8" s="1034">
        <f>'SEAP template'!C76</f>
        <v>10.494339622641508</v>
      </c>
      <c r="D8" s="1034">
        <f>'SEAP template'!D76</f>
        <v>12.345596803728982</v>
      </c>
      <c r="E8" s="1034">
        <f>'SEAP template'!E76</f>
        <v>0</v>
      </c>
      <c r="F8" s="1034">
        <f>'SEAP template'!F76</f>
        <v>0</v>
      </c>
      <c r="G8" s="1034">
        <f>'SEAP template'!G76</f>
        <v>0</v>
      </c>
      <c r="H8" s="1034">
        <f>'SEAP template'!H76</f>
        <v>0</v>
      </c>
      <c r="I8" s="1034">
        <f>'SEAP template'!I76</f>
        <v>0</v>
      </c>
      <c r="J8" s="1034">
        <f>'SEAP template'!J76</f>
        <v>13073.987015148994</v>
      </c>
      <c r="K8" s="1034">
        <f>'SEAP template'!K76</f>
        <v>0</v>
      </c>
      <c r="L8" s="1034">
        <f>'SEAP template'!L76</f>
        <v>0</v>
      </c>
      <c r="M8" s="1034">
        <f>'SEAP template'!M76</f>
        <v>0</v>
      </c>
      <c r="N8" s="1034">
        <f>'SEAP template'!N76</f>
        <v>0</v>
      </c>
      <c r="O8" s="1034">
        <f>'SEAP template'!O76</f>
        <v>0</v>
      </c>
      <c r="P8" s="1035">
        <f>'SEAP template'!Q76</f>
        <v>2.4938105543532547</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14529.343151788338</v>
      </c>
      <c r="C10" s="1038">
        <f>SUM(C4:C9)</f>
        <v>10.494339622641508</v>
      </c>
      <c r="D10" s="1038">
        <f t="shared" ref="D10:H10" si="0">SUM(D8:D9)</f>
        <v>12.345596803728982</v>
      </c>
      <c r="E10" s="1038">
        <f t="shared" si="0"/>
        <v>0</v>
      </c>
      <c r="F10" s="1038">
        <f t="shared" si="0"/>
        <v>0</v>
      </c>
      <c r="G10" s="1038">
        <f t="shared" si="0"/>
        <v>0</v>
      </c>
      <c r="H10" s="1038">
        <f t="shared" si="0"/>
        <v>0</v>
      </c>
      <c r="I10" s="1038">
        <f>SUM(I8:I9)</f>
        <v>0</v>
      </c>
      <c r="J10" s="1038">
        <f>SUM(J8:J9)</f>
        <v>13073.987015148994</v>
      </c>
      <c r="K10" s="1038">
        <f t="shared" ref="K10:L10" si="1">SUM(K8:K9)</f>
        <v>0</v>
      </c>
      <c r="L10" s="1038">
        <f t="shared" si="1"/>
        <v>0</v>
      </c>
      <c r="M10" s="1038">
        <f>SUM(M8:M9)</f>
        <v>0</v>
      </c>
      <c r="N10" s="1038">
        <f>SUM(N8:N9)</f>
        <v>0</v>
      </c>
      <c r="O10" s="1038">
        <f>SUM(O8:O9)</f>
        <v>0</v>
      </c>
      <c r="P10" s="1038">
        <f>SUM(P8:P9)</f>
        <v>2.4938105543532547</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9.4022869972625989E-2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15892.492924528302</v>
      </c>
      <c r="C17" s="1040">
        <f>'SEAP template'!C87</f>
        <v>15.007075471698114</v>
      </c>
      <c r="D17" s="1035">
        <f>'SEAP template'!D87</f>
        <v>17.654403196271019</v>
      </c>
      <c r="E17" s="1035">
        <f>'SEAP template'!E87</f>
        <v>0</v>
      </c>
      <c r="F17" s="1035">
        <f>'SEAP template'!F87</f>
        <v>0</v>
      </c>
      <c r="G17" s="1035">
        <f>'SEAP template'!G87</f>
        <v>0</v>
      </c>
      <c r="H17" s="1035">
        <f>'SEAP template'!H87</f>
        <v>0</v>
      </c>
      <c r="I17" s="1035">
        <f>'SEAP template'!I87</f>
        <v>0</v>
      </c>
      <c r="J17" s="1035">
        <f>'SEAP template'!J87</f>
        <v>18696.012984851011</v>
      </c>
      <c r="K17" s="1035">
        <f>'SEAP template'!K87</f>
        <v>0</v>
      </c>
      <c r="L17" s="1035">
        <f>'SEAP template'!L87</f>
        <v>0</v>
      </c>
      <c r="M17" s="1035">
        <f>'SEAP template'!M87</f>
        <v>0</v>
      </c>
      <c r="N17" s="1035">
        <f>'SEAP template'!N87</f>
        <v>0</v>
      </c>
      <c r="O17" s="1035">
        <f>'SEAP template'!O87</f>
        <v>0</v>
      </c>
      <c r="P17" s="1035">
        <f>'SEAP template'!Q87</f>
        <v>3.5661894456467462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15892.492924528302</v>
      </c>
      <c r="C20" s="1038">
        <f>SUM(C17:C19)</f>
        <v>15.007075471698114</v>
      </c>
      <c r="D20" s="1038">
        <f t="shared" ref="D20:H20" si="2">SUM(D17:D19)</f>
        <v>17.654403196271019</v>
      </c>
      <c r="E20" s="1038">
        <f t="shared" si="2"/>
        <v>0</v>
      </c>
      <c r="F20" s="1038">
        <f t="shared" si="2"/>
        <v>0</v>
      </c>
      <c r="G20" s="1038">
        <f t="shared" si="2"/>
        <v>0</v>
      </c>
      <c r="H20" s="1038">
        <f t="shared" si="2"/>
        <v>0</v>
      </c>
      <c r="I20" s="1038">
        <f>SUM(I17:I19)</f>
        <v>0</v>
      </c>
      <c r="J20" s="1038">
        <f>SUM(J17:J19)</f>
        <v>18696.012984851011</v>
      </c>
      <c r="K20" s="1038">
        <f t="shared" ref="K20:L20" si="3">SUM(K17:K19)</f>
        <v>0</v>
      </c>
      <c r="L20" s="1038">
        <f t="shared" si="3"/>
        <v>0</v>
      </c>
      <c r="M20" s="1038">
        <f>SUM(M17:M19)</f>
        <v>0</v>
      </c>
      <c r="N20" s="1038">
        <f>SUM(N17:N19)</f>
        <v>0</v>
      </c>
      <c r="O20" s="1038">
        <f>SUM(O17:O19)</f>
        <v>0</v>
      </c>
      <c r="P20" s="1038">
        <f>SUM(P17:P19)</f>
        <v>3.5661894456467462</v>
      </c>
    </row>
    <row r="22" spans="1:16">
      <c r="A22" s="462" t="s">
        <v>873</v>
      </c>
      <c r="B22" s="761" t="s">
        <v>867</v>
      </c>
      <c r="C22" s="761">
        <f ca="1">'EF ele_warmte'!B22</f>
        <v>2.2418289773042566E-4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9.4022869972625989E-2</v>
      </c>
      <c r="C17" s="499">
        <f ca="1">'EF ele_warmte'!B22</f>
        <v>2.2418289773042566E-4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2020-06-20T16:12:39Z</dcterms:modified>
</cp:coreProperties>
</file>