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<sst xmlns="http://schemas.openxmlformats.org/spreadsheetml/2006/main" count="2443" uniqueCount="920">
  <si>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</si>
  <si>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</si>
  <si>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</si>
  <si>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</si>
  <si>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</si>
  <si>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</si>
  <si>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</si>
  <si>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</si>
  <si>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</si>
  <si>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</si>
  <si>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</si>
  <si>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</si>
  <si>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</si>
  <si>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</si>
  <si>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</si>
  <si>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</si>
  <si>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</si>
  <si>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</si>
  <si>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</si>
  <si>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</si>
  <si>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</si>
  <si>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</si>
  <si>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</si>
  <si>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</si>
  <si>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</si>
  <si>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</si>
  <si>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</si>
  <si>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</si>
  <si>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</si>
  <si>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</si>
  <si>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</si>
  <si>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</si>
  <si>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</si>
  <si>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</si>
  <si>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</si>
  <si>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</si>
  <si>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</si>
  <si>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</si>
  <si>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</si>
  <si>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</si>
  <si>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</si>
  <si>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</si>
  <si>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</si>
  <si>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</si>
  <si>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</si>
  <si>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</si>
  <si>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</si>
  <si>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</si>
  <si>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</si>
  <si>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</si>
  <si>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</si>
  <si>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</si>
  <si>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</si>
  <si>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</si>
  <si>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</si>
  <si>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</si>
  <si>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</si>
  <si>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</si>
  <si>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</si>
  <si>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</si>
  <si>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</si>
  <si>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</si>
  <si>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</si>
  <si>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</si>
  <si>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</si>
  <si>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</si>
  <si>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</si>
  <si>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</si>
  <si>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</si>
  <si>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</si>
  <si>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</si>
  <si>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</si>
  <si>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</si>
  <si>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</si>
  <si>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</si>
  <si>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</si>
  <si>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</si>
  <si>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</si>
  <si>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</si>
  <si>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</si>
  <si>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</si>
  <si>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</si>
  <si>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</si>
  <si>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</si>
  <si>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</si>
  <si>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</si>
  <si>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</si>
  <si>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</si>
  <si>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</si>
  <si>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</si>
  <si>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</si>
  <si>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</si>
  <si>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</si>
  <si>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</si>
  <si>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</si>
  <si>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</si>
  <si>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</si>
  <si>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</si>
  <si>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</si>
  <si>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</si>
  <si>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</si>
  <si>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</si>
  <si>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</si>
  <si>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</si>
  <si>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</si>
  <si>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</si>
  <si>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</si>
  <si>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</si>
  <si>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</si>
  <si>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</si>
  <si>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</si>
  <si>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</si>
  <si>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</si>
  <si>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</si>
  <si>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</si>
  <si>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</si>
  <si>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</si>
  <si>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</si>
  <si>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</si>
  <si>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</si>
  <si>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</si>
  <si>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</si>
  <si>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</si>
  <si>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</si>
  <si>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</si>
  <si>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</si>
  <si>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</si>
  <si>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</si>
  <si>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</si>
  <si>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</si>
  <si>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</si>
  <si>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</si>
  <si>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</si>
  <si>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</si>
  <si>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</si>
  <si>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</si>
  <si>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</si>
  <si>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</si>
  <si>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</si>
  <si>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</si>
  <si>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</si>
  <si>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</si>
  <si>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</si>
  <si>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</si>
  <si>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</si>
  <si>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</si>
  <si>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</si>
  <si>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</si>
  <si>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</si>
  <si>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</si>
  <si>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</si>
  <si>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</si>
  <si>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</si>
  <si>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</si>
  <si>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</si>
  <si>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</si>
  <si>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</si>
  <si>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</si>
  <si>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</si>
  <si>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</si>
  <si>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</si>
  <si>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</si>
  <si>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</si>
  <si>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</si>
  <si>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</si>
  <si>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</si>
  <si>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</si>
  <si>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</si>
  <si>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</si>
  <si>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</si>
  <si>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</si>
  <si>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</si>
  <si>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</si>
  <si>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</si>
  <si>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</si>
  <si>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</si>
  <si>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</si>
  <si>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</si>
  <si>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</si>
  <si>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</si>
  <si>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</si>
  <si>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</si>
  <si>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</si>
  <si>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</si>
  <si>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</si>
  <si>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</si>
  <si>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</si>
  <si>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</si>
  <si>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</si>
  <si>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</si>
  <si>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</si>
  <si>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</si>
  <si>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</si>
  <si>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</si>
  <si>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</si>
  <si>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</si>
  <si>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</si>
  <si>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</si>
  <si>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</si>
  <si>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</si>
  <si>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</si>
  <si>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</si>
  <si>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</si>
  <si>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</si>
  <si>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</si>
  <si>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</si>
  <si>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</si>
  <si>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</si>
  <si>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</si>
  <si>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</si>
  <si>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</si>
  <si>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</si>
  <si>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</si>
  <si>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</si>
  <si>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</si>
  <si>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</si>
  <si>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</si>
  <si>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</si>
  <si>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</si>
  <si>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</si>
  <si>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</si>
  <si>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</si>
  <si>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</si>
  <si>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</si>
  <si>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</si>
  <si>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</si>
  <si>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</si>
  <si>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</si>
  <si>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</si>
  <si>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</si>
  <si>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</si>
  <si>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</si>
  <si>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</si>
  <si>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</si>
  <si>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</si>
  <si>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</si>
  <si>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</si>
  <si>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</si>
  <si>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</si>
  <si>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</si>
  <si>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</si>
  <si>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</si>
  <si>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</si>
  <si>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</si>
  <si>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</si>
  <si>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</si>
  <si>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</si>
  <si>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</si>
  <si>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</si>
  <si>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</si>
  <si>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</si>
  <si>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</si>
  <si>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</si>
  <si>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</si>
  <si>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</si>
  <si>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</si>
  <si>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</si>
  <si>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</si>
  <si>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</si>
  <si>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</si>
  <si>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</si>
  <si>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</si>
  <si>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</si>
  <si>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</si>
  <si>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</si>
  <si>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</si>
  <si>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</si>
  <si>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</si>
  <si>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</si>
  <si>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</si>
  <si>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</si>
  <si>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</si>
  <si>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</si>
  <si>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</si>
  <si>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</si>
  <si>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</si>
  <si>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</si>
  <si>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</si>
  <si>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</si>
  <si>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</si>
  <si>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</si>
  <si>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</si>
  <si>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</si>
  <si>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</si>
  <si>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</si>
  <si>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</si>
  <si>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</si>
  <si>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</si>
  <si>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</si>
  <si>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</si>
  <si>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</si>
  <si>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</si>
  <si>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</si>
  <si>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</si>
  <si>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</si>
  <si>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</si>
  <si>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</si>
  <si>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</si>
  <si>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</si>
  <si>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</si>
  <si>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</si>
  <si>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</si>
  <si>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</si>
  <si>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</si>
  <si>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</si>
  <si>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</si>
  <si>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</si>
  <si>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</si>
  <si>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</si>
  <si>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</si>
  <si>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</si>
  <si>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</si>
  <si>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</si>
  <si>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</si>
  <si>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</si>
  <si>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</si>
  <si>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</si>
  <si>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</si>
  <si>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</si>
  <si>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</si>
  <si>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</si>
  <si>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</si>
  <si>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</si>
  <si>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</si>
  <si>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</si>
  <si>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</si>
  <si>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</si>
  <si>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</si>
  <si>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</si>
  <si>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</si>
  <si>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</si>
  <si>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</si>
  <si>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</si>
  <si>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</si>
  <si>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</si>
  <si>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</si>
  <si>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</si>
  <si>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</si>
  <si>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</si>
  <si>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</si>
  <si>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</si>
  <si>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</si>
  <si>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</si>
  <si>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</si>
  <si>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</si>
  <si>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</si>
  <si>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</si>
  <si>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</si>
  <si>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</si>
  <si>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</si>
  <si>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</si>
  <si>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</si>
  <si>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</si>
  <si>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</si>
  <si>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</si>
  <si>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</si>
  <si>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</si>
  <si>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</si>
  <si>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</si>
  <si>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</si>
  <si>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</si>
  <si>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</si>
  <si>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</si>
  <si>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</si>
  <si>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</si>
  <si>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</si>
  <si>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</si>
  <si>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</si>
  <si>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</si>
  <si>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</si>
  <si>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</si>
  <si>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</si>
  <si>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</si>
  <si>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</si>
  <si>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</si>
  <si>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</si>
  <si>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</si>
  <si>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</si>
  <si>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</si>
  <si>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</si>
  <si>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</si>
  <si>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</si>
  <si>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</si>
  <si>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</si>
  <si>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</si>
  <si>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</si>
  <si>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</si>
  <si>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</si>
  <si>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</si>
  <si>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</si>
  <si>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</si>
  <si>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</si>
  <si>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</si>
  <si>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</si>
  <si>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</si>
  <si>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</si>
  <si>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</si>
  <si>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</si>
  <si>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</si>
  <si>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</si>
  <si>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</si>
  <si>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</si>
  <si>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</si>
  <si>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</si>
  <si>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</si>
  <si>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</si>
  <si>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</si>
  <si>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</si>
  <si>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</si>
  <si>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</si>
  <si>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</si>
  <si>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</si>
  <si>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</si>
  <si>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</si>
  <si>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</si>
  <si>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</si>
  <si>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</si>
  <si>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</si>
  <si>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</si>
  <si>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</si>
  <si>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</si>
  <si>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</si>
  <si>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</si>
  <si>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</si>
  <si>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</si>
  <si>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</si>
  <si>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</si>
  <si>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</si>
  <si>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</si>
  <si>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</si>
  <si>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</si>
  <si>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</si>
  <si>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</si>
  <si>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</si>
  <si>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</si>
  <si>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</si>
  <si>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</si>
  <si>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</si>
  <si>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</si>
  <si>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</si>
  <si>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</si>
  <si>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</si>
  <si>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</si>
  <si>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</si>
  <si>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</si>
  <si>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</si>
  <si>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</si>
  <si>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</si>
  <si>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</si>
  <si>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</si>
  <si>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</si>
  <si>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</si>
  <si>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</si>
  <si>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</si>
  <si>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</si>
  <si>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</si>
  <si>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</si>
  <si>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</si>
  <si>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</si>
  <si>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</si>
  <si>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</si>
  <si>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</si>
  <si>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</si>
  <si>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</si>
  <si>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</si>
  <si>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</si>
  <si>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</si>
  <si>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</si>
  <si>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</si>
  <si>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</si>
  <si>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</si>
  <si>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</si>
  <si>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</si>
  <si>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</si>
  <si>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</si>
  <si>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</si>
  <si>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</si>
  <si>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</si>
  <si>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</si>
  <si>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</si>
  <si>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</si>
  <si>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</si>
  <si>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</si>
  <si>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</si>
  <si>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</si>
  <si>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</si>
  <si>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</si>
  <si>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</si>
  <si>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</si>
  <si>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</si>
  <si>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</si>
  <si>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</si>
  <si>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</si>
  <si>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</si>
  <si>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</si>
  <si>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</si>
  <si>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</si>
  <si>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</si>
  <si>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</si>
  <si>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</si>
  <si>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</si>
  <si>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</si>
  <si>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</si>
  <si>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</si>
  <si>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</si>
  <si>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</si>
  <si>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</si>
  <si>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</si>
  <si>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</si>
  <si>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</si>
  <si>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</si>
  <si>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</si>
  <si>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</si>
  <si>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</si>
  <si>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</si>
  <si>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</si>
  <si>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</si>
  <si>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</si>
  <si>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</si>
  <si>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</si>
  <si>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</si>
  <si>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</si>
  <si>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</si>
  <si>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</si>
  <si>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</si>
  <si>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</si>
  <si>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</si>
  <si>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</si>
  <si>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</si>
  <si>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</si>
  <si>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</si>
  <si>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</si>
  <si>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</si>
  <si>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</si>
  <si>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</si>
  <si>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</si>
  <si>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</si>
  <si>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</si>
  <si>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</si>
  <si>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</si>
  <si>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</si>
  <si>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</si>
  <si>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</si>
  <si>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</si>
  <si>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</si>
  <si>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</si>
  <si>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</si>
  <si>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</si>
  <si>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</si>
  <si>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</si>
  <si>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</si>
  <si>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</si>
  <si>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</si>
  <si>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</si>
  <si>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</si>
  <si>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</si>
  <si>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</si>
  <si>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</si>
  <si>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</si>
  <si>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</si>
  <si>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</si>
  <si>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</si>
  <si>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</si>
  <si>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</si>
  <si>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</si>
  <si>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</si>
  <si>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</si>
  <si>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</si>
  <si>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</si>
  <si>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</si>
  <si>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</si>
  <si>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</si>
  <si>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</si>
  <si>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</si>
  <si>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</si>
  <si>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</si>
  <si>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</si>
  <si>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</si>
  <si>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</si>
  <si>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</si>
  <si>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</si>
  <si>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</si>
  <si>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</si>
  <si>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</si>
  <si>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</si>
  <si>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</si>
  <si>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</si>
  <si>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</si>
  <si>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</si>
  <si>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</si>
  <si>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</si>
  <si>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</si>
  <si>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</si>
  <si>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</si>
  <si>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</si>
  <si>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</si>
  <si>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</si>
  <si>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</si>
  <si>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</si>
  <si>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</si>
  <si>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</si>
  <si>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</si>
  <si>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</si>
  <si>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</si>
  <si>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</si>
  <si>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</si>
  <si>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</si>
  <si>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</si>
  <si>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</si>
  <si>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</si>
  <si>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</si>
  <si>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</si>
  <si>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</si>
  <si>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</si>
  <si>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</si>
  <si>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</si>
  <si>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</si>
  <si>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</si>
  <si>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</si>
  <si>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</si>
  <si>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</si>
  <si>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</si>
  <si>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</si>
  <si>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</si>
  <si>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</si>
  <si>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</si>
  <si>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</si>
  <si>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</si>
  <si>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</si>
  <si>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</si>
  <si>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</si>
  <si>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</si>
  <si>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</si>
  <si>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</si>
  <si>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</si>
  <si>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</si>
  <si>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</si>
  <si>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</si>
  <si>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</si>
  <si>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</si>
  <si>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</si>
  <si>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</si>
  <si>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</si>
  <si>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</si>
  <si>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</si>
  <si>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</si>
  <si>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</si>
  <si>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</si>
  <si>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</si>
  <si>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</si>
  <si>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</si>
  <si>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</si>
  <si>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</si>
  <si>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</si>
  <si>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</si>
  <si>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</si>
  <si>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</si>
  <si>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</si>
  <si>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</si>
  <si>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</si>
  <si>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</si>
  <si>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</si>
  <si>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</si>
  <si>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</si>
  <si>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</si>
  <si>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</si>
  <si>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</si>
  <si>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</si>
  <si>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</si>
  <si>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</si>
  <si>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</si>
  <si>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</si>
  <si>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</si>
  <si>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</si>
  <si>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</si>
  <si>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</si>
  <si>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</si>
  <si>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</si>
  <si>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</si>
  <si>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</si>
  <si>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</si>
  <si>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</si>
  <si>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</si>
  <si>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</si>
  <si>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</si>
  <si>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</si>
  <si>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</si>
  <si>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</si>
  <si>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</si>
  <si>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</si>
  <si>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</si>
  <si>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</si>
  <si>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</si>
  <si>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</si>
  <si>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</si>
  <si>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</si>
  <si>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</si>
  <si>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</si>
  <si>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</si>
  <si>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</si>
  <si>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</si>
  <si>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</si>
  <si>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</si>
  <si>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</si>
  <si>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</si>
  <si>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</si>
  <si>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</si>
  <si>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</si>
  <si>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</si>
  <si>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</si>
  <si>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</si>
  <si>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</si>
  <si>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</si>
  <si>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</si>
  <si>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</si>
  <si>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</si>
  <si>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</si>
  <si>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</si>
  <si>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</si>
  <si>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</si>
  <si>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</si>
  <si>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</si>
  <si>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</si>
  <si>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</si>
  <si>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</si>
  <si>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</si>
  <si>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</si>
  <si>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</si>
  <si>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</si>
  <si>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</si>
  <si>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</si>
  <si>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</si>
  <si>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</si>
  <si>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</si>
  <si>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</si>
  <si>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</si>
  <si>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</si>
  <si>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</si>
  <si>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</si>
  <si>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</si>
  <si>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</si>
  <si>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</si>
  <si>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</si>
  <si>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</si>
  <si>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</si>
  <si>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</si>
  <si>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</si>
  <si>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</si>
  <si>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</si>
  <si>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</si>
  <si>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</si>
  <si>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</si>
  <si>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</si>
  <si>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</si>
  <si>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</si>
  <si>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</si>
  <si>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</si>
  <si>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</si>
  <si>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</si>
  <si>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</si>
  <si>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</si>
  <si>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</si>
  <si>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</si>
  <si>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</si>
  <si>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</si>
  <si>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</si>
  <si>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</si>
  <si>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</si>
  <si>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</si>
  <si>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</si>
  <si>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</si>
  <si>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</si>
  <si>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</si>
  <si>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</si>
  <si>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</si>
  <si>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</si>
  <si>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</si>
  <si>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</si>
  <si>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</si>
  <si>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</si>
  <si>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</si>
  <si>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</si>
  <si>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</si>
  <si>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</si>
  <si>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</si>
  <si>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</si>
  <si>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</si>
  <si>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</si>
  <si>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</si>
  <si>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</si>
  <si>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</si>
  <si>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</si>
  <si>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</si>
  <si>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</si>
  <si>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</si>
  <si>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</si>
  <si>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</si>
  <si>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</si>
  <si>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</si>
  <si>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</si>
  <si>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</si>
  <si>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</si>
  <si>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</si>
  <si>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</si>
  <si>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</si>
  <si>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</si>
  <si>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</si>
  <si>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</si>
  <si>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</si>
  <si>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</si>
  <si>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</si>
  <si>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</si>
  <si>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</si>
  <si>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</si>
  <si>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</si>
  <si>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</si>
  <si>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</si>
  <si>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</si>
  <si>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</si>
  <si>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</si>
  <si>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</si>
  <si>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</si>
  <si>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</si>
  <si>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</si>
  <si>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</si>
  <si>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</si>
  <si>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</si>
  <si>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</si>
  <si>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</si>
  <si>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</si>
  <si>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</si>
  <si>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</si>
  <si>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</si>
  <si>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</si>
  <si>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</si>
  <si>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</si>
  <si>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</si>
  <si>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</si>
  <si>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</si>
  <si>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</si>
  <si>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</si>
  <si>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</si>
  <si>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</si>
  <si>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</si>
  <si>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</si>
  <si>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</si>
  <si>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</si>
  <si>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</si>
  <si>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</si>
  <si>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</si>
  <si>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</si>
  <si>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</si>
  <si>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</si>
  <si>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</si>
  <si>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</si>
  <si>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</si>
  <si>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</si>
  <si>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</si>
  <si>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</si>
  <si>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</si>
  <si>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</si>
  <si>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</si>
  <si>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</si>
  <si>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</si>
  <si>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</si>
  <si>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</si>
  <si>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</si>
  <si>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</si>
  <si>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</si>
  <si>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</si>
  <si>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</si>
  <si>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</si>
  <si>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</si>
  <si>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</si>
  <si>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</si>
  <si>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</si>
  <si>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</si>
  <si>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</si>
  <si>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</si>
  <si>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</si>
  <si>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</si>
  <si>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</si>
  <si>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</si>
  <si>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</si>
  <si>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</si>
  <si>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</si>
  <si>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</si>
  <si>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</si>
  <si>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</si>
  <si>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</si>
  <si>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</si>
  <si>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</si>
  <si>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</si>
  <si>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</si>
  <si>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</si>
  <si>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</si>
  <si>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</si>
  <si>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</si>
  <si>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</si>
  <si>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</si>
  <si>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</si>
  <si>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</si>
  <si>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</si>
  <si>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</si>
  <si>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</si>
  <si>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</si>
  <si>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</si>
  <si>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72020</t>
  </si>
  <si>
    <t>LOMMEL</t>
  </si>
  <si>
    <t>Paarden&amp;pony's 200 - 600 kg</t>
  </si>
  <si>
    <t>Paarden&amp;pony's &lt; 200 kg</t>
  </si>
  <si>
    <t>Fluvius</t>
  </si>
  <si>
    <t>referentietaak LNE (2017); Jaarverslag De Lijn</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</si>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</sst>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309044.00597804232</c:v>
                </c:pt>
                <c:pt idx="1">
                  <c:v>192594.08026518772</c:v>
                </c:pt>
                <c:pt idx="2">
                  <c:v>2003.385</c:v>
                </c:pt>
                <c:pt idx="3">
                  <c:v>2723.1521492450124</c:v>
                </c:pt>
                <c:pt idx="4">
                  <c:v>484427.17831415834</c:v>
                </c:pt>
                <c:pt idx="5">
                  <c:v>150739.65008973551</c:v>
                </c:pt>
                <c:pt idx="6">
                  <c:v>2415.6262861883029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309044.00597804232</c:v>
                </c:pt>
                <c:pt idx="1">
                  <c:v>192594.08026518772</c:v>
                </c:pt>
                <c:pt idx="2">
                  <c:v>2003.385</c:v>
                </c:pt>
                <c:pt idx="3">
                  <c:v>2723.1521492450124</c:v>
                </c:pt>
                <c:pt idx="4">
                  <c:v>484427.17831415834</c:v>
                </c:pt>
                <c:pt idx="5">
                  <c:v>150739.65008973551</c:v>
                </c:pt>
                <c:pt idx="6">
                  <c:v>2415.6262861883029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57745.526529444855</c:v>
                </c:pt>
                <c:pt idx="2">
                  <c:v>29872.083119453575</c:v>
                </c:pt>
                <c:pt idx="3">
                  <c:v>299.38762441971227</c:v>
                </c:pt>
                <c:pt idx="4">
                  <c:v>635.5294553045195</c:v>
                </c:pt>
                <c:pt idx="5">
                  <c:v>94124.342386861696</c:v>
                </c:pt>
                <c:pt idx="6">
                  <c:v>37742.297188026023</c:v>
                </c:pt>
                <c:pt idx="7">
                  <c:v>610.10071832139556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57745.526529444855</c:v>
                </c:pt>
                <c:pt idx="2">
                  <c:v>29872.083119453575</c:v>
                </c:pt>
                <c:pt idx="3">
                  <c:v>299.38762441971227</c:v>
                </c:pt>
                <c:pt idx="4">
                  <c:v>635.5294553045195</c:v>
                </c:pt>
                <c:pt idx="5">
                  <c:v>94124.342386861696</c:v>
                </c:pt>
                <c:pt idx="6">
                  <c:v>37742.297188026023</c:v>
                </c:pt>
                <c:pt idx="7">
                  <c:v>610.10071832139556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72020</v>
      </c>
      <c r="B6" s="391"/>
      <c r="C6" s="392"/>
    </row>
    <row r="7" spans="1:7" s="389" customFormat="1" ht="15.75" customHeight="1">
      <c r="A7" s="393" t="str">
        <f>txtMunicipality</f>
        <v>LOMMEL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0.14944088351450782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0.14944088351450782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13774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1975</v>
      </c>
      <c r="C14" s="330"/>
      <c r="D14" s="330"/>
      <c r="E14" s="330"/>
      <c r="F14" s="330"/>
    </row>
    <row r="15" spans="1:6">
      <c r="A15" s="1305" t="s">
        <v>183</v>
      </c>
      <c r="B15" s="1306">
        <v>13</v>
      </c>
      <c r="C15" s="330"/>
      <c r="D15" s="330"/>
      <c r="E15" s="330"/>
      <c r="F15" s="330"/>
    </row>
    <row r="16" spans="1:6">
      <c r="A16" s="1305" t="s">
        <v>6</v>
      </c>
      <c r="B16" s="1306">
        <v>477</v>
      </c>
      <c r="C16" s="330"/>
      <c r="D16" s="330"/>
      <c r="E16" s="330"/>
      <c r="F16" s="330"/>
    </row>
    <row r="17" spans="1:6">
      <c r="A17" s="1305" t="s">
        <v>7</v>
      </c>
      <c r="B17" s="1306">
        <v>176</v>
      </c>
      <c r="C17" s="330"/>
      <c r="D17" s="330"/>
      <c r="E17" s="330"/>
      <c r="F17" s="330"/>
    </row>
    <row r="18" spans="1:6">
      <c r="A18" s="1305" t="s">
        <v>8</v>
      </c>
      <c r="B18" s="1306">
        <v>441</v>
      </c>
      <c r="C18" s="330"/>
      <c r="D18" s="330"/>
      <c r="E18" s="330"/>
      <c r="F18" s="330"/>
    </row>
    <row r="19" spans="1:6">
      <c r="A19" s="1305" t="s">
        <v>9</v>
      </c>
      <c r="B19" s="1306">
        <v>410</v>
      </c>
      <c r="C19" s="330"/>
      <c r="D19" s="330"/>
      <c r="E19" s="330"/>
      <c r="F19" s="330"/>
    </row>
    <row r="20" spans="1:6">
      <c r="A20" s="1305" t="s">
        <v>10</v>
      </c>
      <c r="B20" s="1306">
        <v>206</v>
      </c>
      <c r="C20" s="330"/>
      <c r="D20" s="330"/>
      <c r="E20" s="330"/>
      <c r="F20" s="330"/>
    </row>
    <row r="21" spans="1:6">
      <c r="A21" s="1305" t="s">
        <v>11</v>
      </c>
      <c r="B21" s="1306">
        <v>3610</v>
      </c>
      <c r="C21" s="330"/>
      <c r="D21" s="330"/>
      <c r="E21" s="330"/>
      <c r="F21" s="330"/>
    </row>
    <row r="22" spans="1:6">
      <c r="A22" s="1305" t="s">
        <v>12</v>
      </c>
      <c r="B22" s="1306">
        <v>1777</v>
      </c>
      <c r="C22" s="330"/>
      <c r="D22" s="330"/>
      <c r="E22" s="330"/>
      <c r="F22" s="330"/>
    </row>
    <row r="23" spans="1:6">
      <c r="A23" s="1305" t="s">
        <v>13</v>
      </c>
      <c r="B23" s="1306">
        <v>110</v>
      </c>
      <c r="C23" s="330"/>
      <c r="D23" s="330"/>
      <c r="E23" s="330"/>
      <c r="F23" s="330"/>
    </row>
    <row r="24" spans="1:6">
      <c r="A24" s="1305" t="s">
        <v>14</v>
      </c>
      <c r="B24" s="1306">
        <v>4</v>
      </c>
      <c r="C24" s="330"/>
      <c r="D24" s="330"/>
      <c r="E24" s="330"/>
      <c r="F24" s="330"/>
    </row>
    <row r="25" spans="1:6">
      <c r="A25" s="1305" t="s">
        <v>15</v>
      </c>
      <c r="B25" s="1306">
        <v>825</v>
      </c>
      <c r="C25" s="330"/>
      <c r="D25" s="330"/>
      <c r="E25" s="330"/>
      <c r="F25" s="330"/>
    </row>
    <row r="26" spans="1:6">
      <c r="A26" s="1305" t="s">
        <v>16</v>
      </c>
      <c r="B26" s="1306">
        <v>25</v>
      </c>
      <c r="C26" s="330"/>
      <c r="D26" s="330"/>
      <c r="E26" s="330"/>
      <c r="F26" s="330"/>
    </row>
    <row r="27" spans="1:6">
      <c r="A27" s="1305" t="s">
        <v>17</v>
      </c>
      <c r="B27" s="1306">
        <v>8</v>
      </c>
      <c r="C27" s="330"/>
      <c r="D27" s="330"/>
      <c r="E27" s="330"/>
      <c r="F27" s="330"/>
    </row>
    <row r="28" spans="1:6" s="43" customFormat="1">
      <c r="A28" s="1307" t="s">
        <v>18</v>
      </c>
      <c r="B28" s="1308">
        <v>86034</v>
      </c>
      <c r="C28" s="336"/>
      <c r="D28" s="336"/>
      <c r="E28" s="336"/>
      <c r="F28" s="336"/>
    </row>
    <row r="29" spans="1:6">
      <c r="A29" s="1307" t="s">
        <v>909</v>
      </c>
      <c r="B29" s="1308">
        <v>201</v>
      </c>
      <c r="C29" s="336"/>
      <c r="D29" s="336"/>
      <c r="E29" s="336"/>
      <c r="F29" s="336"/>
    </row>
    <row r="30" spans="1:6">
      <c r="A30" s="1300" t="s">
        <v>910</v>
      </c>
      <c r="B30" s="1309">
        <v>66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9</v>
      </c>
      <c r="F36" s="1306">
        <v>185810</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135937</v>
      </c>
    </row>
    <row r="39" spans="1:6">
      <c r="A39" s="1305" t="s">
        <v>29</v>
      </c>
      <c r="B39" s="1305" t="s">
        <v>30</v>
      </c>
      <c r="C39" s="1306">
        <v>8155</v>
      </c>
      <c r="D39" s="1306">
        <v>134318024</v>
      </c>
      <c r="E39" s="1306">
        <v>13888</v>
      </c>
      <c r="F39" s="1306">
        <v>50695653</v>
      </c>
    </row>
    <row r="40" spans="1:6">
      <c r="A40" s="1305" t="s">
        <v>29</v>
      </c>
      <c r="B40" s="1305" t="s">
        <v>28</v>
      </c>
      <c r="C40" s="1306">
        <v>0</v>
      </c>
      <c r="D40" s="1306">
        <v>0</v>
      </c>
      <c r="E40" s="1306">
        <v>0</v>
      </c>
      <c r="F40" s="1306">
        <v>0</v>
      </c>
    </row>
    <row r="41" spans="1:6">
      <c r="A41" s="1305" t="s">
        <v>31</v>
      </c>
      <c r="B41" s="1305" t="s">
        <v>32</v>
      </c>
      <c r="C41" s="1306">
        <v>118</v>
      </c>
      <c r="D41" s="1306">
        <v>26557744</v>
      </c>
      <c r="E41" s="1306">
        <v>225</v>
      </c>
      <c r="F41" s="1306">
        <v>18986051</v>
      </c>
    </row>
    <row r="42" spans="1:6">
      <c r="A42" s="1305" t="s">
        <v>31</v>
      </c>
      <c r="B42" s="1305" t="s">
        <v>33</v>
      </c>
      <c r="C42" s="1306">
        <v>0</v>
      </c>
      <c r="D42" s="1306">
        <v>0</v>
      </c>
      <c r="E42" s="1306">
        <v>0</v>
      </c>
      <c r="F42" s="1306">
        <v>0</v>
      </c>
    </row>
    <row r="43" spans="1:6">
      <c r="A43" s="1305" t="s">
        <v>31</v>
      </c>
      <c r="B43" s="1305" t="s">
        <v>34</v>
      </c>
      <c r="C43" s="1306">
        <v>0</v>
      </c>
      <c r="D43" s="1306">
        <v>0</v>
      </c>
      <c r="E43" s="1306">
        <v>3</v>
      </c>
      <c r="F43" s="1306">
        <v>636902</v>
      </c>
    </row>
    <row r="44" spans="1:6">
      <c r="A44" s="1305" t="s">
        <v>31</v>
      </c>
      <c r="B44" s="1305" t="s">
        <v>35</v>
      </c>
      <c r="C44" s="1306">
        <v>23</v>
      </c>
      <c r="D44" s="1306">
        <v>3219703</v>
      </c>
      <c r="E44" s="1306">
        <v>54</v>
      </c>
      <c r="F44" s="1306">
        <v>44346987</v>
      </c>
    </row>
    <row r="45" spans="1:6">
      <c r="A45" s="1305" t="s">
        <v>31</v>
      </c>
      <c r="B45" s="1305" t="s">
        <v>36</v>
      </c>
      <c r="C45" s="1306">
        <v>4</v>
      </c>
      <c r="D45" s="1306">
        <v>191736</v>
      </c>
      <c r="E45" s="1306">
        <v>21</v>
      </c>
      <c r="F45" s="1306">
        <v>2081858</v>
      </c>
    </row>
    <row r="46" spans="1:6">
      <c r="A46" s="1305" t="s">
        <v>31</v>
      </c>
      <c r="B46" s="1305" t="s">
        <v>37</v>
      </c>
      <c r="C46" s="1306">
        <v>0</v>
      </c>
      <c r="D46" s="1306">
        <v>0</v>
      </c>
      <c r="E46" s="1306">
        <v>0</v>
      </c>
      <c r="F46" s="1306">
        <v>0</v>
      </c>
    </row>
    <row r="47" spans="1:6">
      <c r="A47" s="1305" t="s">
        <v>31</v>
      </c>
      <c r="B47" s="1305" t="s">
        <v>38</v>
      </c>
      <c r="C47" s="1306">
        <v>4</v>
      </c>
      <c r="D47" s="1306">
        <v>199331</v>
      </c>
      <c r="E47" s="1306">
        <v>12</v>
      </c>
      <c r="F47" s="1306">
        <v>2014108</v>
      </c>
    </row>
    <row r="48" spans="1:6">
      <c r="A48" s="1305" t="s">
        <v>31</v>
      </c>
      <c r="B48" s="1305" t="s">
        <v>28</v>
      </c>
      <c r="C48" s="1306">
        <v>1</v>
      </c>
      <c r="D48" s="1306">
        <v>290124</v>
      </c>
      <c r="E48" s="1306">
        <v>2</v>
      </c>
      <c r="F48" s="1306">
        <v>1377968</v>
      </c>
    </row>
    <row r="49" spans="1:6">
      <c r="A49" s="1305" t="s">
        <v>31</v>
      </c>
      <c r="B49" s="1305" t="s">
        <v>39</v>
      </c>
      <c r="C49" s="1306">
        <v>4</v>
      </c>
      <c r="D49" s="1306">
        <v>303097</v>
      </c>
      <c r="E49" s="1306">
        <v>5</v>
      </c>
      <c r="F49" s="1306">
        <v>129812</v>
      </c>
    </row>
    <row r="50" spans="1:6">
      <c r="A50" s="1305" t="s">
        <v>31</v>
      </c>
      <c r="B50" s="1305" t="s">
        <v>40</v>
      </c>
      <c r="C50" s="1306">
        <v>11</v>
      </c>
      <c r="D50" s="1306">
        <v>201895649</v>
      </c>
      <c r="E50" s="1306">
        <v>26</v>
      </c>
      <c r="F50" s="1306">
        <v>48237015</v>
      </c>
    </row>
    <row r="51" spans="1:6">
      <c r="A51" s="1305" t="s">
        <v>41</v>
      </c>
      <c r="B51" s="1305" t="s">
        <v>42</v>
      </c>
      <c r="C51" s="1306">
        <v>7</v>
      </c>
      <c r="D51" s="1306">
        <v>439751</v>
      </c>
      <c r="E51" s="1306">
        <v>36</v>
      </c>
      <c r="F51" s="1306">
        <v>628823</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162</v>
      </c>
      <c r="F54" s="1306">
        <v>2003385</v>
      </c>
    </row>
    <row r="55" spans="1:6">
      <c r="A55" s="1305" t="s">
        <v>45</v>
      </c>
      <c r="B55" s="1305" t="s">
        <v>28</v>
      </c>
      <c r="C55" s="1306">
        <v>0</v>
      </c>
      <c r="D55" s="1306">
        <v>0</v>
      </c>
      <c r="E55" s="1306">
        <v>0</v>
      </c>
      <c r="F55" s="1306">
        <v>0</v>
      </c>
    </row>
    <row r="56" spans="1:6">
      <c r="A56" s="1305" t="s">
        <v>47</v>
      </c>
      <c r="B56" s="1305" t="s">
        <v>28</v>
      </c>
      <c r="C56" s="1306">
        <v>107</v>
      </c>
      <c r="D56" s="1306">
        <v>2662545</v>
      </c>
      <c r="E56" s="1306">
        <v>273</v>
      </c>
      <c r="F56" s="1306">
        <v>1595926</v>
      </c>
    </row>
    <row r="57" spans="1:6">
      <c r="A57" s="1305" t="s">
        <v>48</v>
      </c>
      <c r="B57" s="1305" t="s">
        <v>49</v>
      </c>
      <c r="C57" s="1306">
        <v>91</v>
      </c>
      <c r="D57" s="1306">
        <v>3576998</v>
      </c>
      <c r="E57" s="1306">
        <v>212</v>
      </c>
      <c r="F57" s="1306">
        <v>22290802.932944607</v>
      </c>
    </row>
    <row r="58" spans="1:6">
      <c r="A58" s="1305" t="s">
        <v>48</v>
      </c>
      <c r="B58" s="1305" t="s">
        <v>50</v>
      </c>
      <c r="C58" s="1306">
        <v>55</v>
      </c>
      <c r="D58" s="1306">
        <v>4643508</v>
      </c>
      <c r="E58" s="1306">
        <v>88</v>
      </c>
      <c r="F58" s="1306">
        <v>1462725</v>
      </c>
    </row>
    <row r="59" spans="1:6">
      <c r="A59" s="1305" t="s">
        <v>48</v>
      </c>
      <c r="B59" s="1305" t="s">
        <v>51</v>
      </c>
      <c r="C59" s="1306">
        <v>266</v>
      </c>
      <c r="D59" s="1306">
        <v>13356844</v>
      </c>
      <c r="E59" s="1306">
        <v>453</v>
      </c>
      <c r="F59" s="1306">
        <v>17237716</v>
      </c>
    </row>
    <row r="60" spans="1:6">
      <c r="A60" s="1305" t="s">
        <v>48</v>
      </c>
      <c r="B60" s="1305" t="s">
        <v>52</v>
      </c>
      <c r="C60" s="1306">
        <v>101</v>
      </c>
      <c r="D60" s="1306">
        <v>31995573</v>
      </c>
      <c r="E60" s="1306">
        <v>148</v>
      </c>
      <c r="F60" s="1306">
        <v>12450914</v>
      </c>
    </row>
    <row r="61" spans="1:6">
      <c r="A61" s="1305" t="s">
        <v>48</v>
      </c>
      <c r="B61" s="1305" t="s">
        <v>53</v>
      </c>
      <c r="C61" s="1306">
        <v>220</v>
      </c>
      <c r="D61" s="1306">
        <v>16732718</v>
      </c>
      <c r="E61" s="1306">
        <v>511</v>
      </c>
      <c r="F61" s="1306">
        <v>14761323</v>
      </c>
    </row>
    <row r="62" spans="1:6">
      <c r="A62" s="1305" t="s">
        <v>48</v>
      </c>
      <c r="B62" s="1305" t="s">
        <v>54</v>
      </c>
      <c r="C62" s="1306">
        <v>16</v>
      </c>
      <c r="D62" s="1306">
        <v>3322424</v>
      </c>
      <c r="E62" s="1306">
        <v>27</v>
      </c>
      <c r="F62" s="1306">
        <v>1074864</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6</v>
      </c>
      <c r="D68" s="1309">
        <v>272673</v>
      </c>
      <c r="E68" s="1309">
        <v>11</v>
      </c>
      <c r="F68" s="1309">
        <v>157960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147297445</v>
      </c>
      <c r="E73" s="450"/>
      <c r="F73" s="330"/>
    </row>
    <row r="74" spans="1:6">
      <c r="A74" s="1305" t="s">
        <v>63</v>
      </c>
      <c r="B74" s="1305" t="s">
        <v>710</v>
      </c>
      <c r="C74" s="1319" t="s">
        <v>712</v>
      </c>
      <c r="D74" s="1320">
        <v>8391866.8414533623</v>
      </c>
      <c r="E74" s="450"/>
      <c r="F74" s="330"/>
    </row>
    <row r="75" spans="1:6">
      <c r="A75" s="1305" t="s">
        <v>64</v>
      </c>
      <c r="B75" s="1305" t="s">
        <v>709</v>
      </c>
      <c r="C75" s="1319" t="s">
        <v>713</v>
      </c>
      <c r="D75" s="1320">
        <v>39757121</v>
      </c>
      <c r="E75" s="450"/>
      <c r="F75" s="330"/>
    </row>
    <row r="76" spans="1:6">
      <c r="A76" s="1305" t="s">
        <v>64</v>
      </c>
      <c r="B76" s="1305" t="s">
        <v>710</v>
      </c>
      <c r="C76" s="1319" t="s">
        <v>714</v>
      </c>
      <c r="D76" s="1320">
        <v>522796.84145336191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648596.31709327619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45550.45632717471</v>
      </c>
      <c r="C90" s="330"/>
      <c r="D90" s="330"/>
      <c r="E90" s="330"/>
      <c r="F90" s="330"/>
    </row>
    <row r="91" spans="1:6">
      <c r="A91" s="1305" t="s">
        <v>67</v>
      </c>
      <c r="B91" s="1306">
        <v>10844.453745842176</v>
      </c>
      <c r="C91" s="330"/>
      <c r="D91" s="330"/>
      <c r="E91" s="330"/>
      <c r="F91" s="330"/>
    </row>
    <row r="92" spans="1:6">
      <c r="A92" s="1300" t="s">
        <v>68</v>
      </c>
      <c r="B92" s="1301">
        <v>13235.578617624116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3255</v>
      </c>
      <c r="C97" s="330"/>
      <c r="D97" s="330"/>
      <c r="E97" s="330"/>
      <c r="F97" s="330"/>
    </row>
    <row r="98" spans="1:6">
      <c r="A98" s="1305" t="s">
        <v>71</v>
      </c>
      <c r="B98" s="1306">
        <v>3</v>
      </c>
      <c r="C98" s="330"/>
      <c r="D98" s="330"/>
      <c r="E98" s="330"/>
      <c r="F98" s="330"/>
    </row>
    <row r="99" spans="1:6">
      <c r="A99" s="1305" t="s">
        <v>72</v>
      </c>
      <c r="B99" s="1306">
        <v>121</v>
      </c>
      <c r="C99" s="330"/>
      <c r="D99" s="330"/>
      <c r="E99" s="330"/>
      <c r="F99" s="330"/>
    </row>
    <row r="100" spans="1:6">
      <c r="A100" s="1305" t="s">
        <v>73</v>
      </c>
      <c r="B100" s="1306">
        <v>517</v>
      </c>
      <c r="C100" s="330"/>
      <c r="D100" s="330"/>
      <c r="E100" s="330"/>
      <c r="F100" s="330"/>
    </row>
    <row r="101" spans="1:6">
      <c r="A101" s="1305" t="s">
        <v>74</v>
      </c>
      <c r="B101" s="1306">
        <v>132</v>
      </c>
      <c r="C101" s="330"/>
      <c r="D101" s="330"/>
      <c r="E101" s="330"/>
      <c r="F101" s="330"/>
    </row>
    <row r="102" spans="1:6">
      <c r="A102" s="1305" t="s">
        <v>75</v>
      </c>
      <c r="B102" s="1306">
        <v>111</v>
      </c>
      <c r="C102" s="330"/>
      <c r="D102" s="330"/>
      <c r="E102" s="330"/>
      <c r="F102" s="330"/>
    </row>
    <row r="103" spans="1:6">
      <c r="A103" s="1305" t="s">
        <v>76</v>
      </c>
      <c r="B103" s="1306">
        <v>171</v>
      </c>
      <c r="C103" s="330"/>
      <c r="D103" s="330"/>
      <c r="E103" s="330"/>
      <c r="F103" s="330"/>
    </row>
    <row r="104" spans="1:6">
      <c r="A104" s="1305" t="s">
        <v>77</v>
      </c>
      <c r="B104" s="1306">
        <v>7050</v>
      </c>
      <c r="C104" s="330"/>
      <c r="D104" s="330"/>
      <c r="E104" s="330"/>
      <c r="F104" s="330"/>
    </row>
    <row r="105" spans="1:6">
      <c r="A105" s="1300" t="s">
        <v>78</v>
      </c>
      <c r="B105" s="1309">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33</v>
      </c>
      <c r="C123" s="1306">
        <v>33</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413</v>
      </c>
      <c r="C129" s="330"/>
      <c r="D129" s="330"/>
      <c r="E129" s="330"/>
      <c r="F129" s="330"/>
    </row>
    <row r="130" spans="1:6">
      <c r="A130" s="1305" t="s">
        <v>294</v>
      </c>
      <c r="B130" s="1306">
        <v>2</v>
      </c>
      <c r="C130" s="330"/>
      <c r="D130" s="330"/>
      <c r="E130" s="330"/>
      <c r="F130" s="330"/>
    </row>
    <row r="131" spans="1:6">
      <c r="A131" s="1305" t="s">
        <v>295</v>
      </c>
      <c r="B131" s="1306">
        <v>3</v>
      </c>
      <c r="C131" s="330"/>
      <c r="D131" s="330"/>
      <c r="E131" s="330"/>
      <c r="F131" s="330"/>
    </row>
    <row r="132" spans="1:6">
      <c r="A132" s="1300" t="s">
        <v>296</v>
      </c>
      <c r="B132" s="1301">
        <v>32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270995.4503779154</v>
      </c>
      <c r="C3" s="43" t="s">
        <v>169</v>
      </c>
      <c r="D3" s="43"/>
      <c r="E3" s="154"/>
      <c r="F3" s="43"/>
      <c r="G3" s="43"/>
      <c r="H3" s="43"/>
      <c r="I3" s="43"/>
      <c r="J3" s="43"/>
      <c r="K3" s="96"/>
    </row>
    <row r="4" spans="1:11">
      <c r="A4" s="359" t="s">
        <v>170</v>
      </c>
      <c r="B4" s="49">
        <f>IF(ISERROR('SEAP template'!B78+'SEAP template'!C78),0,'SEAP template'!B78+'SEAP template'!C78)</f>
        <v>87747.48869064101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0.14944088351450782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25881.428571428572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2003.385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0.14944088351450782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299.38762441971227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50695.652999999998</v>
      </c>
      <c r="C5" s="17">
        <f>IF(ISERROR('Eigen informatie GS &amp; warmtenet'!B57),0,'Eigen informatie GS &amp; warmtenet'!B57)</f>
        <v>0</v>
      </c>
      <c r="D5" s="30">
        <f>(SUM(HH_hh_gas_kWh,HH_rest_gas_kWh)/1000)*0.902</f>
        <v>121154.857648</v>
      </c>
      <c r="E5" s="17">
        <f>B46*B57</f>
        <v>36541.565505014798</v>
      </c>
      <c r="F5" s="17">
        <f>B51*B62</f>
        <v>59103.752776159949</v>
      </c>
      <c r="G5" s="18"/>
      <c r="H5" s="17"/>
      <c r="I5" s="17"/>
      <c r="J5" s="17">
        <f>B50*B61+C50*C61</f>
        <v>0</v>
      </c>
      <c r="K5" s="17"/>
      <c r="L5" s="17"/>
      <c r="M5" s="17"/>
      <c r="N5" s="17">
        <f>B48*B59+C48*C59</f>
        <v>28746.513303025389</v>
      </c>
      <c r="O5" s="17">
        <f>B69*B70*B71</f>
        <v>698.81000000000006</v>
      </c>
      <c r="P5" s="17">
        <f>B77*B78*B79/1000-B77*B78*B79/1000/B80</f>
        <v>1258.4000000000001</v>
      </c>
    </row>
    <row r="6" spans="1:16">
      <c r="A6" s="16" t="s">
        <v>630</v>
      </c>
      <c r="B6" s="763">
        <f>kWh_PV_kleiner_dan_10kW</f>
        <v>10844.453745842176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61540.106745842175</v>
      </c>
      <c r="C8" s="21">
        <f>C5</f>
        <v>0</v>
      </c>
      <c r="D8" s="21">
        <f>D5</f>
        <v>121154.857648</v>
      </c>
      <c r="E8" s="21">
        <f>E5</f>
        <v>36541.565505014798</v>
      </c>
      <c r="F8" s="21">
        <f>F5</f>
        <v>59103.752776159949</v>
      </c>
      <c r="G8" s="21"/>
      <c r="H8" s="21"/>
      <c r="I8" s="21"/>
      <c r="J8" s="21">
        <f>J5</f>
        <v>0</v>
      </c>
      <c r="K8" s="21"/>
      <c r="L8" s="21">
        <f>L5</f>
        <v>0</v>
      </c>
      <c r="M8" s="21">
        <f>M5</f>
        <v>0</v>
      </c>
      <c r="N8" s="21">
        <f>N5</f>
        <v>28746.513303025389</v>
      </c>
      <c r="O8" s="21">
        <f>O5</f>
        <v>698.81000000000006</v>
      </c>
      <c r="P8" s="21">
        <f>P5</f>
        <v>1258.4000000000001</v>
      </c>
    </row>
    <row r="9" spans="1:16">
      <c r="B9" s="19"/>
      <c r="C9" s="19"/>
      <c r="D9" s="258"/>
      <c r="E9" s="19"/>
      <c r="F9" s="19"/>
      <c r="G9" s="19"/>
      <c r="H9" s="19"/>
      <c r="I9" s="19"/>
      <c r="J9" s="19"/>
      <c r="K9" s="19"/>
      <c r="L9" s="19"/>
      <c r="M9" s="19"/>
      <c r="N9" s="19"/>
      <c r="O9" s="19"/>
      <c r="P9" s="19"/>
    </row>
    <row r="10" spans="1:16">
      <c r="A10" s="24" t="s">
        <v>213</v>
      </c>
      <c r="B10" s="25">
        <f ca="1">'EF ele_warmte'!B12</f>
        <v>0.14944088351450782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9196.6079236757778</v>
      </c>
      <c r="C12" s="23">
        <f ca="1">C10*C8</f>
        <v>0</v>
      </c>
      <c r="D12" s="23">
        <f>D8*D10</f>
        <v>24473.281244896003</v>
      </c>
      <c r="E12" s="23">
        <f>E10*E8</f>
        <v>8294.9353696383587</v>
      </c>
      <c r="F12" s="23">
        <f>F10*F8</f>
        <v>15780.701991234708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3255</v>
      </c>
      <c r="C18" s="166" t="s">
        <v>110</v>
      </c>
      <c r="D18" s="228"/>
      <c r="E18" s="15"/>
    </row>
    <row r="19" spans="1:7">
      <c r="A19" s="171" t="s">
        <v>71</v>
      </c>
      <c r="B19" s="37">
        <f>aantalw2001_ander</f>
        <v>3</v>
      </c>
      <c r="C19" s="166" t="s">
        <v>110</v>
      </c>
      <c r="D19" s="229"/>
      <c r="E19" s="15"/>
    </row>
    <row r="20" spans="1:7">
      <c r="A20" s="171" t="s">
        <v>72</v>
      </c>
      <c r="B20" s="37">
        <f>aantalw2001_propaan</f>
        <v>121</v>
      </c>
      <c r="C20" s="167">
        <f>IF(ISERROR(B20/SUM($B$20,$B$21,$B$22)*100),0,B20/SUM($B$20,$B$21,$B$22)*100)</f>
        <v>15.714285714285714</v>
      </c>
      <c r="D20" s="229"/>
      <c r="E20" s="15"/>
    </row>
    <row r="21" spans="1:7">
      <c r="A21" s="171" t="s">
        <v>73</v>
      </c>
      <c r="B21" s="37">
        <f>aantalw2001_elektriciteit</f>
        <v>517</v>
      </c>
      <c r="C21" s="167">
        <f>IF(ISERROR(B21/SUM($B$20,$B$21,$B$22)*100),0,B21/SUM($B$20,$B$21,$B$22)*100)</f>
        <v>67.142857142857139</v>
      </c>
      <c r="D21" s="229"/>
      <c r="E21" s="15"/>
    </row>
    <row r="22" spans="1:7">
      <c r="A22" s="171" t="s">
        <v>74</v>
      </c>
      <c r="B22" s="37">
        <f>aantalw2001_hout</f>
        <v>132</v>
      </c>
      <c r="C22" s="167">
        <f>IF(ISERROR(B22/SUM($B$20,$B$21,$B$22)*100),0,B22/SUM($B$20,$B$21,$B$22)*100)</f>
        <v>17.142857142857142</v>
      </c>
      <c r="D22" s="229"/>
      <c r="E22" s="15"/>
    </row>
    <row r="23" spans="1:7">
      <c r="A23" s="171" t="s">
        <v>75</v>
      </c>
      <c r="B23" s="37">
        <f>aantalw2001_niet_gespec</f>
        <v>111</v>
      </c>
      <c r="C23" s="166" t="s">
        <v>110</v>
      </c>
      <c r="D23" s="228"/>
      <c r="E23" s="15"/>
    </row>
    <row r="24" spans="1:7">
      <c r="A24" s="171" t="s">
        <v>76</v>
      </c>
      <c r="B24" s="37">
        <f>aantalw2001_steenkool</f>
        <v>171</v>
      </c>
      <c r="C24" s="166" t="s">
        <v>110</v>
      </c>
      <c r="D24" s="229"/>
      <c r="E24" s="15"/>
    </row>
    <row r="25" spans="1:7">
      <c r="A25" s="171" t="s">
        <v>77</v>
      </c>
      <c r="B25" s="37">
        <f>aantalw2001_stookolie</f>
        <v>7050</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736</v>
      </c>
      <c r="B28" s="37">
        <f>aantalHuishoudens</f>
        <v>13774</v>
      </c>
      <c r="C28" s="36"/>
      <c r="D28" s="228"/>
    </row>
    <row r="29" spans="1:7" s="15" customFormat="1">
      <c r="A29" s="230" t="s">
        <v>737</v>
      </c>
      <c r="B29" s="37">
        <f>SUM(HH_hh_gas_aantal,HH_rest_gas_aantal)</f>
        <v>8155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8155</v>
      </c>
      <c r="C32" s="167">
        <f>IF(ISERROR(B32/SUM($B$32,$B$34,$B$35,$B$36,$B$38,$B$39)*100),0,B32/SUM($B$32,$B$34,$B$35,$B$36,$B$38,$B$39)*100)</f>
        <v>59.4908082871316</v>
      </c>
      <c r="D32" s="233"/>
      <c r="G32" s="15"/>
    </row>
    <row r="33" spans="1:7">
      <c r="A33" s="171" t="s">
        <v>71</v>
      </c>
      <c r="B33" s="34" t="s">
        <v>110</v>
      </c>
      <c r="C33" s="167"/>
      <c r="D33" s="233"/>
      <c r="G33" s="15"/>
    </row>
    <row r="34" spans="1:7">
      <c r="A34" s="171" t="s">
        <v>72</v>
      </c>
      <c r="B34" s="33">
        <f>IF((($B$28-$B$32-$B$39-$B$77-$B$38)*C20/100)&lt;0,0,($B$28-$B$32-$B$39-$B$77-$B$38)*C20/100)</f>
        <v>457.75714285714281</v>
      </c>
      <c r="C34" s="167">
        <f>IF(ISERROR(B34/SUM($B$32,$B$34,$B$35,$B$36,$B$38,$B$39)*100),0,B34/SUM($B$32,$B$34,$B$35,$B$36,$B$38,$B$39)*100)</f>
        <v>3.3393430322231019</v>
      </c>
      <c r="D34" s="233"/>
      <c r="G34" s="15"/>
    </row>
    <row r="35" spans="1:7">
      <c r="A35" s="171" t="s">
        <v>73</v>
      </c>
      <c r="B35" s="33">
        <f>IF((($B$28-$B$32-$B$39-$B$77-$B$38)*C21/100)&lt;0,0,($B$28-$B$32-$B$39-$B$77-$B$38)*C21/100)</f>
        <v>1955.8714285714284</v>
      </c>
      <c r="C35" s="167">
        <f>IF(ISERROR(B35/SUM($B$32,$B$34,$B$35,$B$36,$B$38,$B$39)*100),0,B35/SUM($B$32,$B$34,$B$35,$B$36,$B$38,$B$39)*100)</f>
        <v>14.268102046771435</v>
      </c>
      <c r="D35" s="233"/>
      <c r="G35" s="15"/>
    </row>
    <row r="36" spans="1:7">
      <c r="A36" s="171" t="s">
        <v>74</v>
      </c>
      <c r="B36" s="33">
        <f>IF((($B$28-$B$32-$B$39-$B$77-$B$38)*C22/100)&lt;0,0,($B$28-$B$32-$B$39-$B$77-$B$38)*C22/100)</f>
        <v>499.37142857142857</v>
      </c>
      <c r="C36" s="167">
        <f>IF(ISERROR(B36/SUM($B$32,$B$34,$B$35,$B$36,$B$38,$B$39)*100),0,B36/SUM($B$32,$B$34,$B$35,$B$36,$B$38,$B$39)*100)</f>
        <v>3.6429196715161116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2640</v>
      </c>
      <c r="C39" s="167">
        <f>IF(ISERROR(B39/SUM($B$32,$B$34,$B$35,$B$36,$B$38,$B$39)*100),0,B39/SUM($B$32,$B$34,$B$35,$B$36,$B$38,$B$39)*100)</f>
        <v>19.258826962357748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8155</v>
      </c>
      <c r="C44" s="34" t="s">
        <v>110</v>
      </c>
      <c r="D44" s="174"/>
    </row>
    <row r="45" spans="1:7">
      <c r="A45" s="171" t="s">
        <v>71</v>
      </c>
      <c r="B45" s="33" t="str">
        <f t="shared" si="0"/>
        <v>-</v>
      </c>
      <c r="C45" s="34" t="s">
        <v>110</v>
      </c>
      <c r="D45" s="174"/>
    </row>
    <row r="46" spans="1:7">
      <c r="A46" s="171" t="s">
        <v>72</v>
      </c>
      <c r="B46" s="33">
        <f t="shared" si="0"/>
        <v>457.75714285714281</v>
      </c>
      <c r="C46" s="34" t="s">
        <v>110</v>
      </c>
      <c r="D46" s="174"/>
    </row>
    <row r="47" spans="1:7">
      <c r="A47" s="171" t="s">
        <v>73</v>
      </c>
      <c r="B47" s="33">
        <f t="shared" si="0"/>
        <v>1955.8714285714284</v>
      </c>
      <c r="C47" s="34" t="s">
        <v>110</v>
      </c>
      <c r="D47" s="174"/>
    </row>
    <row r="48" spans="1:7">
      <c r="A48" s="171" t="s">
        <v>74</v>
      </c>
      <c r="B48" s="33">
        <f t="shared" si="0"/>
        <v>499.37142857142857</v>
      </c>
      <c r="C48" s="33">
        <f>B48*10</f>
        <v>4993.7142857142853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2640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447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69278.344932944601</v>
      </c>
      <c r="C5" s="17">
        <f>IF(ISERROR('Eigen informatie GS &amp; warmtenet'!B58),0,'Eigen informatie GS &amp; warmtenet'!B58)</f>
        <v>0</v>
      </c>
      <c r="D5" s="30">
        <f>SUM(D6:D12)</f>
        <v>66412.514630000005</v>
      </c>
      <c r="E5" s="17">
        <f>SUM(E6:E12)</f>
        <v>828.86691420758564</v>
      </c>
      <c r="F5" s="17">
        <f>SUM(F6:F12)</f>
        <v>12015.598549940258</v>
      </c>
      <c r="G5" s="18"/>
      <c r="H5" s="17"/>
      <c r="I5" s="17"/>
      <c r="J5" s="17">
        <f>SUM(J6:J12)</f>
        <v>0</v>
      </c>
      <c r="K5" s="17"/>
      <c r="L5" s="17"/>
      <c r="M5" s="17"/>
      <c r="N5" s="17">
        <f>SUM(N6:N12)</f>
        <v>16005.440550495396</v>
      </c>
      <c r="O5" s="17">
        <f>B38*B39*B40</f>
        <v>3.1266666666666669</v>
      </c>
      <c r="P5" s="17">
        <f>B46*B47*B48/1000-B46*B47*B48/1000/B49</f>
        <v>57.2</v>
      </c>
      <c r="R5" s="32"/>
    </row>
    <row r="6" spans="1:18">
      <c r="A6" s="32" t="s">
        <v>53</v>
      </c>
      <c r="B6" s="37">
        <f>B26</f>
        <v>14761.323</v>
      </c>
      <c r="C6" s="33"/>
      <c r="D6" s="37">
        <f>IF(ISERROR(TER_kantoor_gas_kWh/1000),0,TER_kantoor_gas_kWh/1000)*0.902</f>
        <v>15092.911636000001</v>
      </c>
      <c r="E6" s="33">
        <f>$C$26*'E Balans VL '!I12/100/3.6*1000000</f>
        <v>42.765718524177537</v>
      </c>
      <c r="F6" s="33">
        <f>$C$26*('E Balans VL '!L12+'E Balans VL '!N12)/100/3.6*1000000</f>
        <v>1670.656546439461</v>
      </c>
      <c r="G6" s="34"/>
      <c r="H6" s="33"/>
      <c r="I6" s="33"/>
      <c r="J6" s="33">
        <f>$C$26*('E Balans VL '!D12+'E Balans VL '!E12)/100/3.6*1000000</f>
        <v>0</v>
      </c>
      <c r="K6" s="33"/>
      <c r="L6" s="33"/>
      <c r="M6" s="33"/>
      <c r="N6" s="33">
        <f>$C$26*'E Balans VL '!Y12/100/3.6*1000000</f>
        <v>147.74996660158553</v>
      </c>
      <c r="O6" s="33"/>
      <c r="P6" s="33"/>
      <c r="R6" s="32"/>
    </row>
    <row r="7" spans="1:18">
      <c r="A7" s="32" t="s">
        <v>52</v>
      </c>
      <c r="B7" s="37">
        <f t="shared" ref="B7:B12" si="0">B27</f>
        <v>12450.914000000001</v>
      </c>
      <c r="C7" s="33"/>
      <c r="D7" s="37">
        <f>IF(ISERROR(TER_horeca_gas_kWh/1000),0,TER_horeca_gas_kWh/1000)*0.902</f>
        <v>28860.006846</v>
      </c>
      <c r="E7" s="33">
        <f>$C$27*'E Balans VL '!I9/100/3.6*1000000</f>
        <v>522.65458255381191</v>
      </c>
      <c r="F7" s="33">
        <f>$C$27*('E Balans VL '!L9+'E Balans VL '!N9)/100/3.6*1000000</f>
        <v>2675.3342029393066</v>
      </c>
      <c r="G7" s="34"/>
      <c r="H7" s="33"/>
      <c r="I7" s="33"/>
      <c r="J7" s="33">
        <f>$C$27*('E Balans VL '!D9+'E Balans VL '!E9)/100/3.6*1000000</f>
        <v>0</v>
      </c>
      <c r="K7" s="33"/>
      <c r="L7" s="33"/>
      <c r="M7" s="33"/>
      <c r="N7" s="33">
        <f>$C$27*'E Balans VL '!Y9/100/3.6*1000000</f>
        <v>3.2084916506069363</v>
      </c>
      <c r="O7" s="33"/>
      <c r="P7" s="33"/>
      <c r="R7" s="32"/>
    </row>
    <row r="8" spans="1:18">
      <c r="A8" s="6" t="s">
        <v>51</v>
      </c>
      <c r="B8" s="37">
        <f t="shared" si="0"/>
        <v>17237.716</v>
      </c>
      <c r="C8" s="33"/>
      <c r="D8" s="37">
        <f>IF(ISERROR(TER_handel_gas_kWh/1000),0,TER_handel_gas_kWh/1000)*0.902</f>
        <v>12047.873287999999</v>
      </c>
      <c r="E8" s="33">
        <f>$C$28*'E Balans VL '!I13/100/3.6*1000000</f>
        <v>185.14741638320351</v>
      </c>
      <c r="F8" s="33">
        <f>$C$28*('E Balans VL '!L13+'E Balans VL '!N13)/100/3.6*1000000</f>
        <v>2231.5646823242923</v>
      </c>
      <c r="G8" s="34"/>
      <c r="H8" s="33"/>
      <c r="I8" s="33"/>
      <c r="J8" s="33">
        <f>$C$28*('E Balans VL '!D13+'E Balans VL '!E13)/100/3.6*1000000</f>
        <v>0</v>
      </c>
      <c r="K8" s="33"/>
      <c r="L8" s="33"/>
      <c r="M8" s="33"/>
      <c r="N8" s="33">
        <f>$C$28*'E Balans VL '!Y13/100/3.6*1000000</f>
        <v>139.83329341221742</v>
      </c>
      <c r="O8" s="33"/>
      <c r="P8" s="33"/>
      <c r="R8" s="32"/>
    </row>
    <row r="9" spans="1:18">
      <c r="A9" s="32" t="s">
        <v>50</v>
      </c>
      <c r="B9" s="37">
        <f t="shared" si="0"/>
        <v>1462.7249999999999</v>
      </c>
      <c r="C9" s="33"/>
      <c r="D9" s="37">
        <f>IF(ISERROR(TER_gezond_gas_kWh/1000),0,TER_gezond_gas_kWh/1000)*0.902</f>
        <v>4188.4442159999999</v>
      </c>
      <c r="E9" s="33">
        <f>$C$29*'E Balans VL '!I10/100/3.6*1000000</f>
        <v>1.1644237065184162</v>
      </c>
      <c r="F9" s="33">
        <f>$C$29*('E Balans VL '!L10+'E Balans VL '!N10)/100/3.6*1000000</f>
        <v>177.81536203018342</v>
      </c>
      <c r="G9" s="34"/>
      <c r="H9" s="33"/>
      <c r="I9" s="33"/>
      <c r="J9" s="33">
        <f>$C$29*('E Balans VL '!D10+'E Balans VL '!E10)/100/3.6*1000000</f>
        <v>0</v>
      </c>
      <c r="K9" s="33"/>
      <c r="L9" s="33"/>
      <c r="M9" s="33"/>
      <c r="N9" s="33">
        <f>$C$29*'E Balans VL '!Y10/100/3.6*1000000</f>
        <v>11.81550502647298</v>
      </c>
      <c r="O9" s="33"/>
      <c r="P9" s="33"/>
      <c r="R9" s="32"/>
    </row>
    <row r="10" spans="1:18">
      <c r="A10" s="32" t="s">
        <v>49</v>
      </c>
      <c r="B10" s="37">
        <f t="shared" si="0"/>
        <v>22290.802932944607</v>
      </c>
      <c r="C10" s="33"/>
      <c r="D10" s="37">
        <f>IF(ISERROR(TER_ander_gas_kWh/1000),0,TER_ander_gas_kWh/1000)*0.902</f>
        <v>3226.4521960000002</v>
      </c>
      <c r="E10" s="33">
        <f>$C$30*'E Balans VL '!I14/100/3.6*1000000</f>
        <v>76.391752659880396</v>
      </c>
      <c r="F10" s="33">
        <f>$C$30*('E Balans VL '!L14+'E Balans VL '!N14)/100/3.6*1000000</f>
        <v>4978.8595836877048</v>
      </c>
      <c r="G10" s="34"/>
      <c r="H10" s="33"/>
      <c r="I10" s="33"/>
      <c r="J10" s="33">
        <f>$C$30*('E Balans VL '!D14+'E Balans VL '!E14)/100/3.6*1000000</f>
        <v>0</v>
      </c>
      <c r="K10" s="33"/>
      <c r="L10" s="33"/>
      <c r="M10" s="33"/>
      <c r="N10" s="33">
        <f>$C$30*'E Balans VL '!Y14/100/3.6*1000000</f>
        <v>15701.763358242288</v>
      </c>
      <c r="O10" s="33"/>
      <c r="P10" s="33"/>
      <c r="R10" s="32"/>
    </row>
    <row r="11" spans="1:18">
      <c r="A11" s="32" t="s">
        <v>54</v>
      </c>
      <c r="B11" s="37">
        <f t="shared" si="0"/>
        <v>1074.864</v>
      </c>
      <c r="C11" s="33"/>
      <c r="D11" s="37">
        <f>IF(ISERROR(TER_onderwijs_gas_kWh/1000),0,TER_onderwijs_gas_kWh/1000)*0.902</f>
        <v>2996.8264480000003</v>
      </c>
      <c r="E11" s="33">
        <f>$C$31*'E Balans VL '!I11/100/3.6*1000000</f>
        <v>0.74302037999406345</v>
      </c>
      <c r="F11" s="33">
        <f>$C$31*('E Balans VL '!L11+'E Balans VL '!N11)/100/3.6*1000000</f>
        <v>281.36817251930978</v>
      </c>
      <c r="G11" s="34"/>
      <c r="H11" s="33"/>
      <c r="I11" s="33"/>
      <c r="J11" s="33">
        <f>$C$31*('E Balans VL '!D11+'E Balans VL '!E11)/100/3.6*1000000</f>
        <v>0</v>
      </c>
      <c r="K11" s="33"/>
      <c r="L11" s="33"/>
      <c r="M11" s="33"/>
      <c r="N11" s="33">
        <f>$C$31*'E Balans VL '!Y11/100/3.6*1000000</f>
        <v>1.0699355622261186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18117</v>
      </c>
      <c r="C13" s="247">
        <f ca="1">'lokale energieproductie'!O38+'lokale energieproductie'!O31</f>
        <v>25881.428571428572</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-51762.857142857145</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87395.344932944601</v>
      </c>
      <c r="C16" s="21">
        <f t="shared" ca="1" si="1"/>
        <v>25881.428571428572</v>
      </c>
      <c r="D16" s="21">
        <f t="shared" ca="1" si="1"/>
        <v>66412.514630000005</v>
      </c>
      <c r="E16" s="21">
        <f t="shared" si="1"/>
        <v>828.86691420758564</v>
      </c>
      <c r="F16" s="21">
        <f t="shared" ca="1" si="1"/>
        <v>12015.598549940258</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0.14944088351450782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13060.437561834406</v>
      </c>
      <c r="C20" s="23">
        <f t="shared" ref="C20:P20" ca="1" si="2">C16*C18</f>
        <v>0</v>
      </c>
      <c r="D20" s="23">
        <f t="shared" ca="1" si="2"/>
        <v>13415.327955260002</v>
      </c>
      <c r="E20" s="23">
        <f t="shared" si="2"/>
        <v>188.15278952512193</v>
      </c>
      <c r="F20" s="23">
        <f t="shared" ca="1" si="2"/>
        <v>3208.1648128340489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14761.323</v>
      </c>
      <c r="C26" s="39">
        <f>IF(ISERROR(B26*3.6/1000000/'E Balans VL '!Z12*100),0,B26*3.6/1000000/'E Balans VL '!Z12*100)</f>
        <v>0.32424952549330999</v>
      </c>
      <c r="D26" s="237" t="s">
        <v>691</v>
      </c>
      <c r="F26" s="6"/>
    </row>
    <row r="27" spans="1:18">
      <c r="A27" s="231" t="s">
        <v>52</v>
      </c>
      <c r="B27" s="33">
        <f>IF(ISERROR(TER_horeca_ele_kWh/1000),0,TER_horeca_ele_kWh/1000)</f>
        <v>12450.914000000001</v>
      </c>
      <c r="C27" s="39">
        <f>IF(ISERROR(B27*3.6/1000000/'E Balans VL '!Z9*100),0,B27*3.6/1000000/'E Balans VL '!Z9*100)</f>
        <v>1.0005550520766511</v>
      </c>
      <c r="D27" s="237" t="s">
        <v>691</v>
      </c>
      <c r="F27" s="6"/>
    </row>
    <row r="28" spans="1:18">
      <c r="A28" s="171" t="s">
        <v>51</v>
      </c>
      <c r="B28" s="33">
        <f>IF(ISERROR(TER_handel_ele_kWh/1000),0,TER_handel_ele_kWh/1000)</f>
        <v>17237.716</v>
      </c>
      <c r="C28" s="39">
        <f>IF(ISERROR(B28*3.6/1000000/'E Balans VL '!Z13*100),0,B28*3.6/1000000/'E Balans VL '!Z13*100)</f>
        <v>0.50970721959875076</v>
      </c>
      <c r="D28" s="237" t="s">
        <v>691</v>
      </c>
      <c r="F28" s="6"/>
    </row>
    <row r="29" spans="1:18">
      <c r="A29" s="231" t="s">
        <v>50</v>
      </c>
      <c r="B29" s="33">
        <f>IF(ISERROR(TER_gezond_ele_kWh/1000),0,TER_gezond_ele_kWh/1000)</f>
        <v>1462.7249999999999</v>
      </c>
      <c r="C29" s="39">
        <f>IF(ISERROR(B29*3.6/1000000/'E Balans VL '!Z10*100),0,B29*3.6/1000000/'E Balans VL '!Z10*100)</f>
        <v>0.16481134326942531</v>
      </c>
      <c r="D29" s="237" t="s">
        <v>691</v>
      </c>
      <c r="F29" s="6"/>
    </row>
    <row r="30" spans="1:18">
      <c r="A30" s="231" t="s">
        <v>49</v>
      </c>
      <c r="B30" s="33">
        <f>IF(ISERROR(TER_ander_ele_kWh/1000),0,TER_ander_ele_kWh/1000)</f>
        <v>22290.802932944607</v>
      </c>
      <c r="C30" s="39">
        <f>IF(ISERROR(B30*3.6/1000000/'E Balans VL '!Z14*100),0,B30*3.6/1000000/'E Balans VL '!Z14*100)</f>
        <v>1.6858153214121652</v>
      </c>
      <c r="D30" s="237" t="s">
        <v>691</v>
      </c>
      <c r="F30" s="6"/>
    </row>
    <row r="31" spans="1:18">
      <c r="A31" s="231" t="s">
        <v>54</v>
      </c>
      <c r="B31" s="33">
        <f>IF(ISERROR(TER_onderwijs_ele_kWh/1000),0,TER_onderwijs_ele_kWh/1000)</f>
        <v>1074.864</v>
      </c>
      <c r="C31" s="39">
        <f>IF(ISERROR(B31*3.6/1000000/'E Balans VL '!Z11*100),0,B31*3.6/1000000/'E Balans VL '!Z11*100)</f>
        <v>0.22311681450343551</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117810.70099999999</v>
      </c>
      <c r="C5" s="17">
        <f>IF(ISERROR('Eigen informatie GS &amp; warmtenet'!B59),0,'Eigen informatie GS &amp; warmtenet'!B59)</f>
        <v>0</v>
      </c>
      <c r="D5" s="30">
        <f>SUM(D6:D15)</f>
        <v>209856.960368</v>
      </c>
      <c r="E5" s="17">
        <f>SUM(E6:E15)</f>
        <v>6902.9069217367578</v>
      </c>
      <c r="F5" s="17">
        <f>SUM(F6:F15)</f>
        <v>120407.19018062108</v>
      </c>
      <c r="G5" s="18"/>
      <c r="H5" s="17"/>
      <c r="I5" s="17"/>
      <c r="J5" s="17">
        <f>SUM(J6:J15)</f>
        <v>1163.3375654296801</v>
      </c>
      <c r="K5" s="17"/>
      <c r="L5" s="17"/>
      <c r="M5" s="17"/>
      <c r="N5" s="17">
        <f>SUM(N6:N15)</f>
        <v>28286.082278370784</v>
      </c>
      <c r="O5" s="17">
        <f>B43*B44*B45</f>
        <v>0</v>
      </c>
      <c r="P5" s="17">
        <f>B51*B52*B53/1000-B51*B52*B53/1000/B54</f>
        <v>0</v>
      </c>
      <c r="R5" s="32"/>
    </row>
    <row r="6" spans="1:18">
      <c r="A6" s="6" t="s">
        <v>34</v>
      </c>
      <c r="B6" s="37">
        <f>IF( ISERROR(IND_ijzer_ele_kWh/1000),0,IND_ijzer_ele_kWh/1000)</f>
        <v>636.90200000000004</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44346.987000000001</v>
      </c>
      <c r="C8" s="33"/>
      <c r="D8" s="37">
        <f>IF( ISERROR(IND_metaal_Gas_kWH/1000),0,IND_metaal_Gas_kWH/1000)*0.902</f>
        <v>2904.172106</v>
      </c>
      <c r="E8" s="33">
        <f>C30*'E Balans VL '!I18/100/3.6*1000000</f>
        <v>1109.8498734806817</v>
      </c>
      <c r="F8" s="33">
        <f>C30*'E Balans VL '!L18/100/3.6*1000000+C30*'E Balans VL '!N18/100/3.6*1000000</f>
        <v>13898.566319058002</v>
      </c>
      <c r="G8" s="34"/>
      <c r="H8" s="33"/>
      <c r="I8" s="33"/>
      <c r="J8" s="40">
        <f>C30*'E Balans VL '!D18/100/3.6*1000000+C30*'E Balans VL '!E18/100/3.6*1000000</f>
        <v>0</v>
      </c>
      <c r="K8" s="33"/>
      <c r="L8" s="33"/>
      <c r="M8" s="33"/>
      <c r="N8" s="33">
        <f>C30*'E Balans VL '!Y18/100/3.6*1000000</f>
        <v>1114.1114039072313</v>
      </c>
      <c r="O8" s="33"/>
      <c r="P8" s="33"/>
      <c r="R8" s="32"/>
    </row>
    <row r="9" spans="1:18">
      <c r="A9" s="6" t="s">
        <v>32</v>
      </c>
      <c r="B9" s="37">
        <f t="shared" si="0"/>
        <v>18986.050999999999</v>
      </c>
      <c r="C9" s="33"/>
      <c r="D9" s="37">
        <f>IF( ISERROR(IND_andere_gas_kWh/1000),0,IND_andere_gas_kWh/1000)*0.902</f>
        <v>23955.085088</v>
      </c>
      <c r="E9" s="33">
        <f>C31*'E Balans VL '!I19/100/3.6*1000000</f>
        <v>5220.3853110627197</v>
      </c>
      <c r="F9" s="33">
        <f>C31*'E Balans VL '!L19/100/3.6*1000000+C31*'E Balans VL '!N19/100/3.6*1000000</f>
        <v>14964.311998080822</v>
      </c>
      <c r="G9" s="34"/>
      <c r="H9" s="33"/>
      <c r="I9" s="33"/>
      <c r="J9" s="40">
        <f>C31*'E Balans VL '!D19/100/3.6*1000000+C31*'E Balans VL '!E19/100/3.6*1000000</f>
        <v>0</v>
      </c>
      <c r="K9" s="33"/>
      <c r="L9" s="33"/>
      <c r="M9" s="33"/>
      <c r="N9" s="33">
        <f>C31*'E Balans VL '!Y19/100/3.6*1000000</f>
        <v>1529.5282327239499</v>
      </c>
      <c r="O9" s="33"/>
      <c r="P9" s="33"/>
      <c r="R9" s="32"/>
    </row>
    <row r="10" spans="1:18">
      <c r="A10" s="6" t="s">
        <v>40</v>
      </c>
      <c r="B10" s="37">
        <f t="shared" si="0"/>
        <v>48237.014999999999</v>
      </c>
      <c r="C10" s="33"/>
      <c r="D10" s="37">
        <f>IF( ISERROR(IND_voed_gas_kWh/1000),0,IND_voed_gas_kWh/1000)*0.902</f>
        <v>182109.875398</v>
      </c>
      <c r="E10" s="33">
        <f>C32*'E Balans VL '!I20/100/3.6*1000000</f>
        <v>491.74979400180507</v>
      </c>
      <c r="F10" s="33">
        <f>C32*'E Balans VL '!L20/100/3.6*1000000+C32*'E Balans VL '!N20/100/3.6*1000000</f>
        <v>91119.419641593937</v>
      </c>
      <c r="G10" s="34"/>
      <c r="H10" s="33"/>
      <c r="I10" s="33"/>
      <c r="J10" s="40">
        <f>C32*'E Balans VL '!D20/100/3.6*1000000+C32*'E Balans VL '!E20/100/3.6*1000000</f>
        <v>1154.4696011776493</v>
      </c>
      <c r="K10" s="33"/>
      <c r="L10" s="33"/>
      <c r="M10" s="33"/>
      <c r="N10" s="33">
        <f>C32*'E Balans VL '!Y20/100/3.6*1000000</f>
        <v>25426.463127804149</v>
      </c>
      <c r="O10" s="33"/>
      <c r="P10" s="33"/>
      <c r="R10" s="32"/>
    </row>
    <row r="11" spans="1:18">
      <c r="A11" s="6" t="s">
        <v>39</v>
      </c>
      <c r="B11" s="37">
        <f t="shared" si="0"/>
        <v>129.81200000000001</v>
      </c>
      <c r="C11" s="33"/>
      <c r="D11" s="37">
        <f>IF( ISERROR(IND_textiel_gas_kWh/1000),0,IND_textiel_gas_kWh/1000)*0.902</f>
        <v>273.39349399999998</v>
      </c>
      <c r="E11" s="33">
        <f>C33*'E Balans VL '!I21/100/3.6*1000000</f>
        <v>0.3440653063024266</v>
      </c>
      <c r="F11" s="33">
        <f>C33*'E Balans VL '!L21/100/3.6*1000000+C33*'E Balans VL '!N21/100/3.6*1000000</f>
        <v>5.7975378310492811</v>
      </c>
      <c r="G11" s="34"/>
      <c r="H11" s="33"/>
      <c r="I11" s="33"/>
      <c r="J11" s="40">
        <f>C33*'E Balans VL '!D21/100/3.6*1000000+C33*'E Balans VL '!E21/100/3.6*1000000</f>
        <v>0</v>
      </c>
      <c r="K11" s="33"/>
      <c r="L11" s="33"/>
      <c r="M11" s="33"/>
      <c r="N11" s="33">
        <f>C33*'E Balans VL '!Y21/100/3.6*1000000</f>
        <v>1.2233853049159304</v>
      </c>
      <c r="O11" s="33"/>
      <c r="P11" s="33"/>
      <c r="R11" s="32"/>
    </row>
    <row r="12" spans="1:18">
      <c r="A12" s="6" t="s">
        <v>36</v>
      </c>
      <c r="B12" s="37">
        <f t="shared" si="0"/>
        <v>2081.8580000000002</v>
      </c>
      <c r="C12" s="33"/>
      <c r="D12" s="37">
        <f>IF( ISERROR(IND_min_gas_kWh/1000),0,IND_min_gas_kWh/1000)*0.902</f>
        <v>172.94587200000001</v>
      </c>
      <c r="E12" s="33">
        <f>C34*'E Balans VL '!I22/100/3.6*1000000</f>
        <v>6.3050061474278802</v>
      </c>
      <c r="F12" s="33">
        <f>C34*'E Balans VL '!L22/100/3.6*1000000+C34*'E Balans VL '!N22/100/3.6*1000000</f>
        <v>65.059852348488079</v>
      </c>
      <c r="G12" s="34"/>
      <c r="H12" s="33"/>
      <c r="I12" s="33"/>
      <c r="J12" s="40">
        <f>C34*'E Balans VL '!D22/100/3.6*1000000+C34*'E Balans VL '!E22/100/3.6*1000000</f>
        <v>3.0869332653380739</v>
      </c>
      <c r="K12" s="33"/>
      <c r="L12" s="33"/>
      <c r="M12" s="33"/>
      <c r="N12" s="33">
        <f>C34*'E Balans VL '!Y22/100/3.6*1000000</f>
        <v>0</v>
      </c>
      <c r="O12" s="33"/>
      <c r="P12" s="33"/>
      <c r="R12" s="32"/>
    </row>
    <row r="13" spans="1:18">
      <c r="A13" s="6" t="s">
        <v>38</v>
      </c>
      <c r="B13" s="37">
        <f t="shared" si="0"/>
        <v>2014.1079999999999</v>
      </c>
      <c r="C13" s="33"/>
      <c r="D13" s="37">
        <f>IF( ISERROR(IND_papier_gas_kWh/1000),0,IND_papier_gas_kWh/1000)*0.902</f>
        <v>179.79656199999999</v>
      </c>
      <c r="E13" s="33">
        <f>C35*'E Balans VL '!I23/100/3.6*1000000</f>
        <v>4.1713536170164058</v>
      </c>
      <c r="F13" s="33">
        <f>C35*'E Balans VL '!L23/100/3.6*1000000+C35*'E Balans VL '!N23/100/3.6*1000000</f>
        <v>39.944079544361593</v>
      </c>
      <c r="G13" s="34"/>
      <c r="H13" s="33"/>
      <c r="I13" s="33"/>
      <c r="J13" s="40">
        <f>C35*'E Balans VL '!D23/100/3.6*1000000+C35*'E Balans VL '!E23/100/3.6*1000000</f>
        <v>0</v>
      </c>
      <c r="K13" s="33"/>
      <c r="L13" s="33"/>
      <c r="M13" s="33"/>
      <c r="N13" s="33">
        <f>C35*'E Balans VL '!Y23/100/3.6*1000000</f>
        <v>139.68857020328829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1377.9680000000001</v>
      </c>
      <c r="C15" s="33"/>
      <c r="D15" s="37">
        <f>IF( ISERROR(IND_rest_gas_kWh/1000),0,IND_rest_gas_kWh/1000)*0.902</f>
        <v>261.69184800000005</v>
      </c>
      <c r="E15" s="33">
        <f>C37*'E Balans VL '!I15/100/3.6*1000000</f>
        <v>70.101518120804499</v>
      </c>
      <c r="F15" s="33">
        <f>C37*'E Balans VL '!L15/100/3.6*1000000+C37*'E Balans VL '!N15/100/3.6*1000000</f>
        <v>314.09075216441011</v>
      </c>
      <c r="G15" s="34"/>
      <c r="H15" s="33"/>
      <c r="I15" s="33"/>
      <c r="J15" s="40">
        <f>C37*'E Balans VL '!D15/100/3.6*1000000+C37*'E Balans VL '!E15/100/3.6*1000000</f>
        <v>5.7810309866927501</v>
      </c>
      <c r="K15" s="33"/>
      <c r="L15" s="33"/>
      <c r="M15" s="33"/>
      <c r="N15" s="33">
        <f>C37*'E Balans VL '!Y15/100/3.6*1000000</f>
        <v>75.067558427249324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117810.70099999999</v>
      </c>
      <c r="C18" s="21">
        <f>C5+C16</f>
        <v>0</v>
      </c>
      <c r="D18" s="21">
        <f>MAX((D5+D16),0)</f>
        <v>209856.960368</v>
      </c>
      <c r="E18" s="21">
        <f>MAX((E5+E16),0)</f>
        <v>6902.9069217367578</v>
      </c>
      <c r="F18" s="21">
        <f>MAX((F5+F16),0)</f>
        <v>120407.19018062108</v>
      </c>
      <c r="G18" s="21"/>
      <c r="H18" s="21"/>
      <c r="I18" s="21"/>
      <c r="J18" s="21">
        <f>MAX((J5+J16),0)</f>
        <v>1163.3375654296801</v>
      </c>
      <c r="K18" s="21"/>
      <c r="L18" s="21">
        <f>MAX((L5+L16),0)</f>
        <v>0</v>
      </c>
      <c r="M18" s="21"/>
      <c r="N18" s="21">
        <f>MAX((N5+N16),0)</f>
        <v>28286.082278370784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0.14944088351450782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17605.73524490351</v>
      </c>
      <c r="C22" s="23">
        <f ca="1">C18*C20</f>
        <v>0</v>
      </c>
      <c r="D22" s="23">
        <f>D18*D20</f>
        <v>42391.105994336001</v>
      </c>
      <c r="E22" s="23">
        <f>E18*E20</f>
        <v>1566.959871234244</v>
      </c>
      <c r="F22" s="23">
        <f>F18*F20</f>
        <v>32148.71977822583</v>
      </c>
      <c r="G22" s="23"/>
      <c r="H22" s="23"/>
      <c r="I22" s="23"/>
      <c r="J22" s="23">
        <f>J18*J20</f>
        <v>411.82149816210676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44346.987000000001</v>
      </c>
      <c r="C30" s="39">
        <f>IF(ISERROR(B30*3.6/1000000/'E Balans VL '!Z18*100),0,B30*3.6/1000000/'E Balans VL '!Z18*100)</f>
        <v>6.2071003003316374</v>
      </c>
      <c r="D30" s="237" t="s">
        <v>691</v>
      </c>
    </row>
    <row r="31" spans="1:18">
      <c r="A31" s="6" t="s">
        <v>32</v>
      </c>
      <c r="B31" s="37">
        <f>IF( ISERROR(IND_ander_ele_kWh/1000),0,IND_ander_ele_kWh/1000)</f>
        <v>18986.050999999999</v>
      </c>
      <c r="C31" s="39">
        <f>IF(ISERROR(B31*3.6/1000000/'E Balans VL '!Z19*100),0,B31*3.6/1000000/'E Balans VL '!Z19*100)</f>
        <v>0.8310163722949423</v>
      </c>
      <c r="D31" s="237" t="s">
        <v>691</v>
      </c>
    </row>
    <row r="32" spans="1:18">
      <c r="A32" s="171" t="s">
        <v>40</v>
      </c>
      <c r="B32" s="37">
        <f>IF( ISERROR(IND_voed_ele_kWh/1000),0,IND_voed_ele_kWh/1000)</f>
        <v>48237.014999999999</v>
      </c>
      <c r="C32" s="39">
        <f>IF(ISERROR(B32*3.6/1000000/'E Balans VL '!Z20*100),0,B32*3.6/1000000/'E Balans VL '!Z20*100)</f>
        <v>11.941883041744969</v>
      </c>
      <c r="D32" s="237" t="s">
        <v>691</v>
      </c>
    </row>
    <row r="33" spans="1:5">
      <c r="A33" s="171" t="s">
        <v>39</v>
      </c>
      <c r="B33" s="37">
        <f>IF( ISERROR(IND_textiel_ele_kWh/1000),0,IND_textiel_ele_kWh/1000)</f>
        <v>129.81200000000001</v>
      </c>
      <c r="C33" s="39">
        <f>IF(ISERROR(B33*3.6/1000000/'E Balans VL '!Z21*100),0,B33*3.6/1000000/'E Balans VL '!Z21*100)</f>
        <v>1.4627525740552958E-2</v>
      </c>
      <c r="D33" s="237" t="s">
        <v>691</v>
      </c>
    </row>
    <row r="34" spans="1:5">
      <c r="A34" s="171" t="s">
        <v>36</v>
      </c>
      <c r="B34" s="37">
        <f>IF( ISERROR(IND_min_ele_kWh/1000),0,IND_min_ele_kWh/1000)</f>
        <v>2081.8580000000002</v>
      </c>
      <c r="C34" s="39">
        <f>IF(ISERROR(B34*3.6/1000000/'E Balans VL '!Z22*100),0,B34*3.6/1000000/'E Balans VL '!Z22*100)</f>
        <v>5.9074636515839829E-2</v>
      </c>
      <c r="D34" s="237" t="s">
        <v>691</v>
      </c>
    </row>
    <row r="35" spans="1:5">
      <c r="A35" s="171" t="s">
        <v>38</v>
      </c>
      <c r="B35" s="37">
        <f>IF( ISERROR(IND_papier_ele_kWh/1000),0,IND_papier_ele_kWh/1000)</f>
        <v>2014.1079999999999</v>
      </c>
      <c r="C35" s="39">
        <f>IF(ISERROR(B35*3.6/1000000/'E Balans VL '!Z22*100),0,B35*3.6/1000000/'E Balans VL '!Z22*100)</f>
        <v>5.7152167920984591E-2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1377.9680000000001</v>
      </c>
      <c r="C37" s="39">
        <f>IF(ISERROR(B37*3.6/1000000/'E Balans VL '!Z15*100),0,B37*3.6/1000000/'E Balans VL '!Z15*100)</f>
        <v>1.0217396801895184E-2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628.82299999999998</v>
      </c>
      <c r="C5" s="17">
        <f>'Eigen informatie GS &amp; warmtenet'!B60</f>
        <v>0</v>
      </c>
      <c r="D5" s="30">
        <f>IF(ISERROR(SUM(LB_lb_gas_kWh,LB_rest_gas_kWh)/1000),0,SUM(LB_lb_gas_kWh,LB_rest_gas_kWh)/1000)*0.902</f>
        <v>396.65540199999998</v>
      </c>
      <c r="E5" s="17">
        <f>B17*'E Balans VL '!I25/3.6*1000000/100</f>
        <v>5.824422001282362</v>
      </c>
      <c r="F5" s="17">
        <f>B17*('E Balans VL '!L25/3.6*1000000+'E Balans VL '!N25/3.6*1000000)/100</f>
        <v>1595.4437416585683</v>
      </c>
      <c r="G5" s="18"/>
      <c r="H5" s="17"/>
      <c r="I5" s="17"/>
      <c r="J5" s="17">
        <f>('E Balans VL '!D25+'E Balans VL '!E25)/3.6*1000000*landbouw!B17/100</f>
        <v>96.405583585161779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628.82299999999998</v>
      </c>
      <c r="C8" s="21">
        <f>C5+C6</f>
        <v>0</v>
      </c>
      <c r="D8" s="21">
        <f>MAX((D5+D6),0)</f>
        <v>396.65540199999998</v>
      </c>
      <c r="E8" s="21">
        <f>MAX((E5+E6),0)</f>
        <v>5.824422001282362</v>
      </c>
      <c r="F8" s="21">
        <f>MAX((F5+F6),0)</f>
        <v>1595.4437416585683</v>
      </c>
      <c r="G8" s="21"/>
      <c r="H8" s="21"/>
      <c r="I8" s="21"/>
      <c r="J8" s="21">
        <f>MAX((J5+J6),0)</f>
        <v>96.405583585161779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0.14944088351450782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93.971864694243351</v>
      </c>
      <c r="C12" s="23">
        <f ca="1">C8*C10</f>
        <v>0</v>
      </c>
      <c r="D12" s="23">
        <f>D8*D10</f>
        <v>80.124391204000005</v>
      </c>
      <c r="E12" s="23">
        <f>E8*E10</f>
        <v>1.3221437942910963</v>
      </c>
      <c r="F12" s="23">
        <f>F8*F10</f>
        <v>425.9834790228378</v>
      </c>
      <c r="G12" s="23"/>
      <c r="H12" s="23"/>
      <c r="I12" s="23"/>
      <c r="J12" s="23">
        <f>J8*J10</f>
        <v>34.127576589147267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8.940529724774246E-2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142.35209002441039</v>
      </c>
      <c r="C26" s="247">
        <f>B26*'GWP N2O_CH4'!B5</f>
        <v>2989.3938905126183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50.894855171556713</v>
      </c>
      <c r="C27" s="247">
        <f>B27*'GWP N2O_CH4'!B5</f>
        <v>1068.791958602691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1.8729117502574264</v>
      </c>
      <c r="C28" s="247">
        <f>B28*'GWP N2O_CH4'!B4</f>
        <v>580.60264257980214</v>
      </c>
      <c r="D28" s="50"/>
    </row>
    <row r="29" spans="1:4">
      <c r="A29" s="41" t="s">
        <v>276</v>
      </c>
      <c r="B29" s="247">
        <f>B34*'ha_N2O bodem landbouw'!B4</f>
        <v>13.074079616489021</v>
      </c>
      <c r="C29" s="247">
        <f>B29*'GWP N2O_CH4'!B4</f>
        <v>4052.9646811115963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2.9322857278601291E-3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7.6189316862927903E-5</v>
      </c>
      <c r="C5" s="438" t="s">
        <v>210</v>
      </c>
      <c r="D5" s="423">
        <f>SUM(D6:D11)</f>
        <v>1.5307878150800654E-4</v>
      </c>
      <c r="E5" s="423">
        <f>SUM(E6:E11)</f>
        <v>1.4575020572168548E-3</v>
      </c>
      <c r="F5" s="436" t="s">
        <v>210</v>
      </c>
      <c r="G5" s="423">
        <f>SUM(G6:G11)</f>
        <v>0.42101323900623855</v>
      </c>
      <c r="H5" s="423">
        <f>SUM(H6:H11)</f>
        <v>9.2725198323489091E-2</v>
      </c>
      <c r="I5" s="438" t="s">
        <v>210</v>
      </c>
      <c r="J5" s="438" t="s">
        <v>210</v>
      </c>
      <c r="K5" s="438" t="s">
        <v>210</v>
      </c>
      <c r="L5" s="438" t="s">
        <v>210</v>
      </c>
      <c r="M5" s="423">
        <f>SUM(M6:M11)</f>
        <v>2.7237532837732538E-2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5.9995818066289247E-5</v>
      </c>
      <c r="C6" s="424"/>
      <c r="D6" s="866">
        <f>vkm_GW_PW*SUMIFS(TableVerdeelsleutelVkm[CNG],TableVerdeelsleutelVkm[Voertuigtype],"Lichte voertuigen")*SUMIFS(TableECFTransport[EnergieConsumptieFactor (PJ per km)],TableECFTransport[Index],CONCATENATE($A6,"_CNG_CNG"))</f>
        <v>1.0469177183118744E-4</v>
      </c>
      <c r="E6" s="866">
        <f>vkm_GW_PW*SUMIFS(TableVerdeelsleutelVkm[LPG],TableVerdeelsleutelVkm[Voertuigtype],"Lichte voertuigen")*SUMIFS(TableECFTransport[EnergieConsumptieFactor (PJ per km)],TableECFTransport[Index],CONCATENATE($A6,"_LPG_LPG"))</f>
        <v>1.0139912737530559E-3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0.23830539701190084</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6.4112637763047806E-2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1.5771887641639233E-2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7.8546521778332906E-2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1.5232667257556112E-6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4.553949757992129E-3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1.6193498796638649E-5</v>
      </c>
      <c r="C8" s="424"/>
      <c r="D8" s="426">
        <f>vkm_NGW_PW*SUMIFS(TableVerdeelsleutelVkm[CNG],TableVerdeelsleutelVkm[Voertuigtype],"Lichte voertuigen")*SUMIFS(TableECFTransport[EnergieConsumptieFactor (PJ per km)],TableECFTransport[Index],CONCATENATE($A8,"_CNG_CNG"))</f>
        <v>4.8387009676819089E-5</v>
      </c>
      <c r="E8" s="426">
        <f>vkm_NGW_PW*SUMIFS(TableVerdeelsleutelVkm[LPG],TableVerdeelsleutelVkm[Voertuigtype],"Lichte voertuigen")*SUMIFS(TableECFTransport[EnergieConsumptieFactor (PJ per km)],TableECFTransport[Index],CONCATENATE($A8,"_LPG_LPG"))</f>
        <v>4.4351078346379876E-4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9.7839278841466967E-2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2.8610885426990317E-2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6.5451568792311713E-3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6.322041374537791E-3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1.5186672520386752E-7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3.6653855887000574E-4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21.163699128591087</v>
      </c>
      <c r="C14" s="21"/>
      <c r="D14" s="21">
        <f t="shared" ref="D14:M14" si="0">((D5)*10^9/3600)+D12</f>
        <v>42.521883752224035</v>
      </c>
      <c r="E14" s="21">
        <f t="shared" si="0"/>
        <v>404.86168256023745</v>
      </c>
      <c r="F14" s="21"/>
      <c r="G14" s="21">
        <f t="shared" si="0"/>
        <v>116948.12194617737</v>
      </c>
      <c r="H14" s="21">
        <f t="shared" si="0"/>
        <v>25756.999534302522</v>
      </c>
      <c r="I14" s="21"/>
      <c r="J14" s="21"/>
      <c r="K14" s="21"/>
      <c r="L14" s="21"/>
      <c r="M14" s="21">
        <f t="shared" si="0"/>
        <v>7565.9813438145939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0.14944088351450782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3.1627218962118713</v>
      </c>
      <c r="C18" s="23"/>
      <c r="D18" s="23">
        <f t="shared" ref="D18:M18" si="1">D14*D16</f>
        <v>8.5894205179492555</v>
      </c>
      <c r="E18" s="23">
        <f t="shared" si="1"/>
        <v>91.903601941173903</v>
      </c>
      <c r="F18" s="23"/>
      <c r="G18" s="23">
        <f t="shared" si="1"/>
        <v>31225.148559629361</v>
      </c>
      <c r="H18" s="23">
        <f t="shared" si="1"/>
        <v>6413.4928840413277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8.2260771009626359E-3</v>
      </c>
      <c r="H50" s="319">
        <f t="shared" si="2"/>
        <v>0</v>
      </c>
      <c r="I50" s="319">
        <f t="shared" si="2"/>
        <v>0</v>
      </c>
      <c r="J50" s="319">
        <f t="shared" si="2"/>
        <v>0</v>
      </c>
      <c r="K50" s="319">
        <f t="shared" si="2"/>
        <v>0</v>
      </c>
      <c r="L50" s="319">
        <f t="shared" si="2"/>
        <v>0</v>
      </c>
      <c r="M50" s="319">
        <f t="shared" si="2"/>
        <v>4.7017752931525385E-4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8.2260771009626359E-3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4.7017752931525385E-4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2285.0214169340657</v>
      </c>
      <c r="H54" s="21">
        <f t="shared" si="3"/>
        <v>0</v>
      </c>
      <c r="I54" s="21">
        <f t="shared" si="3"/>
        <v>0</v>
      </c>
      <c r="J54" s="21">
        <f t="shared" si="3"/>
        <v>0</v>
      </c>
      <c r="K54" s="21">
        <f t="shared" si="3"/>
        <v>0</v>
      </c>
      <c r="L54" s="21">
        <f t="shared" si="3"/>
        <v>0</v>
      </c>
      <c r="M54" s="21">
        <f t="shared" si="3"/>
        <v>130.60486925423717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0.14944088351450782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610.10071832139556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89398.729932944596</v>
      </c>
      <c r="D10" s="991">
        <f ca="1">tertiair!C16</f>
        <v>25881.428571428572</v>
      </c>
      <c r="E10" s="991">
        <f ca="1">tertiair!D16</f>
        <v>66412.514630000005</v>
      </c>
      <c r="F10" s="991">
        <f>tertiair!E16</f>
        <v>828.86691420758564</v>
      </c>
      <c r="G10" s="991">
        <f ca="1">tertiair!F16</f>
        <v>12015.598549940258</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3.1266666666666669</v>
      </c>
      <c r="Q10" s="992">
        <f>tertiair!P16</f>
        <v>57.2</v>
      </c>
      <c r="R10" s="675">
        <f ca="1">SUM(C10:Q10)</f>
        <v>194597.46526518767</v>
      </c>
      <c r="S10" s="67"/>
    </row>
    <row r="11" spans="1:19" s="448" customFormat="1">
      <c r="A11" s="784" t="s">
        <v>224</v>
      </c>
      <c r="B11" s="789"/>
      <c r="C11" s="991">
        <f>huishoudens!B8</f>
        <v>61540.106745842175</v>
      </c>
      <c r="D11" s="991">
        <f>huishoudens!C8</f>
        <v>0</v>
      </c>
      <c r="E11" s="991">
        <f>huishoudens!D8</f>
        <v>121154.857648</v>
      </c>
      <c r="F11" s="991">
        <f>huishoudens!E8</f>
        <v>36541.565505014798</v>
      </c>
      <c r="G11" s="991">
        <f>huishoudens!F8</f>
        <v>59103.752776159949</v>
      </c>
      <c r="H11" s="991">
        <f>huishoudens!G8</f>
        <v>0</v>
      </c>
      <c r="I11" s="991">
        <f>huishoudens!H8</f>
        <v>0</v>
      </c>
      <c r="J11" s="991">
        <f>huishoudens!I8</f>
        <v>0</v>
      </c>
      <c r="K11" s="991">
        <f>huishoudens!J8</f>
        <v>0</v>
      </c>
      <c r="L11" s="991">
        <f>huishoudens!K8</f>
        <v>0</v>
      </c>
      <c r="M11" s="991">
        <f>huishoudens!L8</f>
        <v>0</v>
      </c>
      <c r="N11" s="991">
        <f>huishoudens!M8</f>
        <v>0</v>
      </c>
      <c r="O11" s="991">
        <f>huishoudens!N8</f>
        <v>28746.513303025389</v>
      </c>
      <c r="P11" s="991">
        <f>huishoudens!O8</f>
        <v>698.81000000000006</v>
      </c>
      <c r="Q11" s="992">
        <f>huishoudens!P8</f>
        <v>1258.4000000000001</v>
      </c>
      <c r="R11" s="675">
        <f>SUM(C11:Q11)</f>
        <v>309044.00597804232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117810.70099999999</v>
      </c>
      <c r="D13" s="991">
        <f>industrie!C18</f>
        <v>0</v>
      </c>
      <c r="E13" s="991">
        <f>industrie!D18</f>
        <v>209856.960368</v>
      </c>
      <c r="F13" s="991">
        <f>industrie!E18</f>
        <v>6902.9069217367578</v>
      </c>
      <c r="G13" s="991">
        <f>industrie!F18</f>
        <v>120407.19018062108</v>
      </c>
      <c r="H13" s="991">
        <f>industrie!G18</f>
        <v>0</v>
      </c>
      <c r="I13" s="991">
        <f>industrie!H18</f>
        <v>0</v>
      </c>
      <c r="J13" s="991">
        <f>industrie!I18</f>
        <v>0</v>
      </c>
      <c r="K13" s="991">
        <f>industrie!J18</f>
        <v>1163.3375654296801</v>
      </c>
      <c r="L13" s="991">
        <f>industrie!K18</f>
        <v>0</v>
      </c>
      <c r="M13" s="991">
        <f>industrie!L18</f>
        <v>0</v>
      </c>
      <c r="N13" s="991">
        <f>industrie!M18</f>
        <v>0</v>
      </c>
      <c r="O13" s="991">
        <f>industrie!N18</f>
        <v>28286.082278370784</v>
      </c>
      <c r="P13" s="991">
        <f>industrie!O18</f>
        <v>0</v>
      </c>
      <c r="Q13" s="992">
        <f>industrie!P18</f>
        <v>0</v>
      </c>
      <c r="R13" s="675">
        <f>SUM(C13:Q13)</f>
        <v>484427.17831415834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268749.53767878679</v>
      </c>
      <c r="D16" s="707">
        <f t="shared" ref="D16:R16" ca="1" si="0">SUM(D9:D15)</f>
        <v>25881.428571428572</v>
      </c>
      <c r="E16" s="707">
        <f t="shared" ca="1" si="0"/>
        <v>397424.33264599997</v>
      </c>
      <c r="F16" s="707">
        <f t="shared" si="0"/>
        <v>44273.339340959144</v>
      </c>
      <c r="G16" s="707">
        <f t="shared" ca="1" si="0"/>
        <v>191526.54150672129</v>
      </c>
      <c r="H16" s="707">
        <f t="shared" si="0"/>
        <v>0</v>
      </c>
      <c r="I16" s="707">
        <f t="shared" si="0"/>
        <v>0</v>
      </c>
      <c r="J16" s="707">
        <f t="shared" si="0"/>
        <v>0</v>
      </c>
      <c r="K16" s="707">
        <f t="shared" si="0"/>
        <v>1163.3375654296801</v>
      </c>
      <c r="L16" s="707">
        <f t="shared" si="0"/>
        <v>0</v>
      </c>
      <c r="M16" s="707">
        <f t="shared" ca="1" si="0"/>
        <v>0</v>
      </c>
      <c r="N16" s="707">
        <f t="shared" si="0"/>
        <v>0</v>
      </c>
      <c r="O16" s="707">
        <f t="shared" ca="1" si="0"/>
        <v>57032.595581396177</v>
      </c>
      <c r="P16" s="707">
        <f t="shared" si="0"/>
        <v>701.93666666666672</v>
      </c>
      <c r="Q16" s="707">
        <f t="shared" si="0"/>
        <v>1315.6000000000001</v>
      </c>
      <c r="R16" s="707">
        <f t="shared" ca="1" si="0"/>
        <v>988068.64955738839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2285.0214169340657</v>
      </c>
      <c r="I19" s="991">
        <f>transport!H54</f>
        <v>0</v>
      </c>
      <c r="J19" s="991">
        <f>transport!I54</f>
        <v>0</v>
      </c>
      <c r="K19" s="991">
        <f>transport!J54</f>
        <v>0</v>
      </c>
      <c r="L19" s="991">
        <f>transport!K54</f>
        <v>0</v>
      </c>
      <c r="M19" s="991">
        <f>transport!L54</f>
        <v>0</v>
      </c>
      <c r="N19" s="991">
        <f>transport!M54</f>
        <v>130.60486925423717</v>
      </c>
      <c r="O19" s="991">
        <f>transport!N54</f>
        <v>0</v>
      </c>
      <c r="P19" s="991">
        <f>transport!O54</f>
        <v>0</v>
      </c>
      <c r="Q19" s="992">
        <f>transport!P54</f>
        <v>0</v>
      </c>
      <c r="R19" s="675">
        <f>SUM(C19:Q19)</f>
        <v>2415.6262861883029</v>
      </c>
      <c r="S19" s="67"/>
    </row>
    <row r="20" spans="1:19" s="448" customFormat="1">
      <c r="A20" s="784" t="s">
        <v>306</v>
      </c>
      <c r="B20" s="789"/>
      <c r="C20" s="991">
        <f>transport!B14</f>
        <v>21.163699128591087</v>
      </c>
      <c r="D20" s="991">
        <f>transport!C14</f>
        <v>0</v>
      </c>
      <c r="E20" s="991">
        <f>transport!D14</f>
        <v>42.521883752224035</v>
      </c>
      <c r="F20" s="991">
        <f>transport!E14</f>
        <v>404.86168256023745</v>
      </c>
      <c r="G20" s="991">
        <f>transport!F14</f>
        <v>0</v>
      </c>
      <c r="H20" s="991">
        <f>transport!G14</f>
        <v>116948.12194617737</v>
      </c>
      <c r="I20" s="991">
        <f>transport!H14</f>
        <v>25756.999534302522</v>
      </c>
      <c r="J20" s="991">
        <f>transport!I14</f>
        <v>0</v>
      </c>
      <c r="K20" s="991">
        <f>transport!J14</f>
        <v>0</v>
      </c>
      <c r="L20" s="991">
        <f>transport!K14</f>
        <v>0</v>
      </c>
      <c r="M20" s="991">
        <f>transport!L14</f>
        <v>0</v>
      </c>
      <c r="N20" s="991">
        <f>transport!M14</f>
        <v>7565.9813438145939</v>
      </c>
      <c r="O20" s="991">
        <f>transport!N14</f>
        <v>0</v>
      </c>
      <c r="P20" s="991">
        <f>transport!O14</f>
        <v>0</v>
      </c>
      <c r="Q20" s="992">
        <f>transport!P14</f>
        <v>0</v>
      </c>
      <c r="R20" s="675">
        <f>SUM(C20:Q20)</f>
        <v>150739.65008973551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21.163699128591087</v>
      </c>
      <c r="D22" s="787">
        <f t="shared" ref="D22:R22" si="1">SUM(D18:D21)</f>
        <v>0</v>
      </c>
      <c r="E22" s="787">
        <f t="shared" si="1"/>
        <v>42.521883752224035</v>
      </c>
      <c r="F22" s="787">
        <f t="shared" si="1"/>
        <v>404.86168256023745</v>
      </c>
      <c r="G22" s="787">
        <f t="shared" si="1"/>
        <v>0</v>
      </c>
      <c r="H22" s="787">
        <f t="shared" si="1"/>
        <v>119233.14336311143</v>
      </c>
      <c r="I22" s="787">
        <f t="shared" si="1"/>
        <v>25756.999534302522</v>
      </c>
      <c r="J22" s="787">
        <f t="shared" si="1"/>
        <v>0</v>
      </c>
      <c r="K22" s="787">
        <f t="shared" si="1"/>
        <v>0</v>
      </c>
      <c r="L22" s="787">
        <f t="shared" si="1"/>
        <v>0</v>
      </c>
      <c r="M22" s="787">
        <f t="shared" si="1"/>
        <v>0</v>
      </c>
      <c r="N22" s="787">
        <f t="shared" si="1"/>
        <v>7696.5862130688311</v>
      </c>
      <c r="O22" s="787">
        <f t="shared" si="1"/>
        <v>0</v>
      </c>
      <c r="P22" s="787">
        <f t="shared" si="1"/>
        <v>0</v>
      </c>
      <c r="Q22" s="787">
        <f t="shared" si="1"/>
        <v>0</v>
      </c>
      <c r="R22" s="787">
        <f t="shared" si="1"/>
        <v>153155.27637592383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628.82299999999998</v>
      </c>
      <c r="D24" s="991">
        <f>+landbouw!C8</f>
        <v>0</v>
      </c>
      <c r="E24" s="991">
        <f>+landbouw!D8</f>
        <v>396.65540199999998</v>
      </c>
      <c r="F24" s="991">
        <f>+landbouw!E8</f>
        <v>5.824422001282362</v>
      </c>
      <c r="G24" s="991">
        <f>+landbouw!F8</f>
        <v>1595.4437416585683</v>
      </c>
      <c r="H24" s="991">
        <f>+landbouw!G8</f>
        <v>0</v>
      </c>
      <c r="I24" s="991">
        <f>+landbouw!H8</f>
        <v>0</v>
      </c>
      <c r="J24" s="991">
        <f>+landbouw!I8</f>
        <v>0</v>
      </c>
      <c r="K24" s="991">
        <f>+landbouw!J8</f>
        <v>96.405583585161779</v>
      </c>
      <c r="L24" s="991">
        <f>+landbouw!K8</f>
        <v>0</v>
      </c>
      <c r="M24" s="991">
        <f>+landbouw!L8</f>
        <v>0</v>
      </c>
      <c r="N24" s="991">
        <f>+landbouw!M8</f>
        <v>0</v>
      </c>
      <c r="O24" s="991">
        <f>+landbouw!N8</f>
        <v>0</v>
      </c>
      <c r="P24" s="991">
        <f>+landbouw!O8</f>
        <v>0</v>
      </c>
      <c r="Q24" s="992">
        <f>+landbouw!P8</f>
        <v>0</v>
      </c>
      <c r="R24" s="675">
        <f>SUM(C24:Q24)</f>
        <v>2723.1521492450124</v>
      </c>
      <c r="S24" s="67"/>
    </row>
    <row r="25" spans="1:19" s="448" customFormat="1" ht="15" thickBot="1">
      <c r="A25" s="806" t="s">
        <v>849</v>
      </c>
      <c r="B25" s="994"/>
      <c r="C25" s="995">
        <f>IF(Onbekend_ele_kWh="---",0,Onbekend_ele_kWh)/1000+IF(REST_rest_ele_kWh="---",0,REST_rest_ele_kWh)/1000</f>
        <v>1595.9259999999999</v>
      </c>
      <c r="D25" s="995"/>
      <c r="E25" s="995">
        <f>IF(onbekend_gas_kWh="---",0,onbekend_gas_kWh)/1000+IF(REST_rest_gas_kWh="---",0,REST_rest_gas_kWh)/1000</f>
        <v>2662.5450000000001</v>
      </c>
      <c r="F25" s="995"/>
      <c r="G25" s="995"/>
      <c r="H25" s="995"/>
      <c r="I25" s="995"/>
      <c r="J25" s="995"/>
      <c r="K25" s="995"/>
      <c r="L25" s="995"/>
      <c r="M25" s="995"/>
      <c r="N25" s="995"/>
      <c r="O25" s="995"/>
      <c r="P25" s="995"/>
      <c r="Q25" s="996"/>
      <c r="R25" s="675">
        <f>SUM(C25:Q25)</f>
        <v>4258.4709999999995</v>
      </c>
      <c r="S25" s="67"/>
    </row>
    <row r="26" spans="1:19" s="448" customFormat="1" ht="15.75" thickBot="1">
      <c r="A26" s="680" t="s">
        <v>850</v>
      </c>
      <c r="B26" s="792"/>
      <c r="C26" s="787">
        <f>SUM(C24:C25)</f>
        <v>2224.7489999999998</v>
      </c>
      <c r="D26" s="787">
        <f t="shared" ref="D26:R26" si="2">SUM(D24:D25)</f>
        <v>0</v>
      </c>
      <c r="E26" s="787">
        <f t="shared" si="2"/>
        <v>3059.2004019999999</v>
      </c>
      <c r="F26" s="787">
        <f t="shared" si="2"/>
        <v>5.824422001282362</v>
      </c>
      <c r="G26" s="787">
        <f t="shared" si="2"/>
        <v>1595.4437416585683</v>
      </c>
      <c r="H26" s="787">
        <f t="shared" si="2"/>
        <v>0</v>
      </c>
      <c r="I26" s="787">
        <f t="shared" si="2"/>
        <v>0</v>
      </c>
      <c r="J26" s="787">
        <f t="shared" si="2"/>
        <v>0</v>
      </c>
      <c r="K26" s="787">
        <f t="shared" si="2"/>
        <v>96.405583585161779</v>
      </c>
      <c r="L26" s="787">
        <f t="shared" si="2"/>
        <v>0</v>
      </c>
      <c r="M26" s="787">
        <f t="shared" si="2"/>
        <v>0</v>
      </c>
      <c r="N26" s="787">
        <f t="shared" si="2"/>
        <v>0</v>
      </c>
      <c r="O26" s="787">
        <f t="shared" si="2"/>
        <v>0</v>
      </c>
      <c r="P26" s="787">
        <f t="shared" si="2"/>
        <v>0</v>
      </c>
      <c r="Q26" s="787">
        <f t="shared" si="2"/>
        <v>0</v>
      </c>
      <c r="R26" s="787">
        <f t="shared" si="2"/>
        <v>6981.6231492450115</v>
      </c>
      <c r="S26" s="67"/>
    </row>
    <row r="27" spans="1:19" s="448" customFormat="1" ht="17.25" thickTop="1" thickBot="1">
      <c r="A27" s="681" t="s">
        <v>115</v>
      </c>
      <c r="B27" s="780"/>
      <c r="C27" s="682">
        <f ca="1">C22+C16+C26</f>
        <v>270995.4503779154</v>
      </c>
      <c r="D27" s="682">
        <f t="shared" ref="D27:R27" ca="1" si="3">D22+D16+D26</f>
        <v>25881.428571428572</v>
      </c>
      <c r="E27" s="682">
        <f t="shared" ca="1" si="3"/>
        <v>400526.05493175215</v>
      </c>
      <c r="F27" s="682">
        <f t="shared" si="3"/>
        <v>44684.025445520667</v>
      </c>
      <c r="G27" s="682">
        <f t="shared" ca="1" si="3"/>
        <v>193121.98524837985</v>
      </c>
      <c r="H27" s="682">
        <f t="shared" si="3"/>
        <v>119233.14336311143</v>
      </c>
      <c r="I27" s="682">
        <f t="shared" si="3"/>
        <v>25756.999534302522</v>
      </c>
      <c r="J27" s="682">
        <f t="shared" si="3"/>
        <v>0</v>
      </c>
      <c r="K27" s="682">
        <f t="shared" si="3"/>
        <v>1259.7431490148419</v>
      </c>
      <c r="L27" s="682">
        <f t="shared" si="3"/>
        <v>0</v>
      </c>
      <c r="M27" s="682">
        <f t="shared" ca="1" si="3"/>
        <v>0</v>
      </c>
      <c r="N27" s="682">
        <f t="shared" si="3"/>
        <v>7696.5862130688311</v>
      </c>
      <c r="O27" s="682">
        <f t="shared" ca="1" si="3"/>
        <v>57032.595581396177</v>
      </c>
      <c r="P27" s="682">
        <f t="shared" si="3"/>
        <v>701.93666666666672</v>
      </c>
      <c r="Q27" s="682">
        <f t="shared" si="3"/>
        <v>1315.6000000000001</v>
      </c>
      <c r="R27" s="682">
        <f t="shared" ca="1" si="3"/>
        <v>1148205.5490825572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13359.825186254118</v>
      </c>
      <c r="D40" s="991">
        <f ca="1">tertiair!C20</f>
        <v>0</v>
      </c>
      <c r="E40" s="991">
        <f ca="1">tertiair!D20</f>
        <v>13415.327955260002</v>
      </c>
      <c r="F40" s="991">
        <f>tertiair!E20</f>
        <v>188.15278952512193</v>
      </c>
      <c r="G40" s="991">
        <f ca="1">tertiair!F20</f>
        <v>3208.1648128340489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30171.470743873291</v>
      </c>
    </row>
    <row r="41" spans="1:18">
      <c r="A41" s="797" t="s">
        <v>224</v>
      </c>
      <c r="B41" s="804"/>
      <c r="C41" s="991">
        <f ca="1">huishoudens!B12</f>
        <v>9196.6079236757778</v>
      </c>
      <c r="D41" s="991">
        <f ca="1">huishoudens!C12</f>
        <v>0</v>
      </c>
      <c r="E41" s="991">
        <f>huishoudens!D12</f>
        <v>24473.281244896003</v>
      </c>
      <c r="F41" s="991">
        <f>huishoudens!E12</f>
        <v>8294.9353696383587</v>
      </c>
      <c r="G41" s="991">
        <f>huishoudens!F12</f>
        <v>15780.701991234708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57745.526529444855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17605.73524490351</v>
      </c>
      <c r="D43" s="991">
        <f ca="1">industrie!C22</f>
        <v>0</v>
      </c>
      <c r="E43" s="991">
        <f>industrie!D22</f>
        <v>42391.105994336001</v>
      </c>
      <c r="F43" s="991">
        <f>industrie!E22</f>
        <v>1566.959871234244</v>
      </c>
      <c r="G43" s="991">
        <f>industrie!F22</f>
        <v>32148.71977822583</v>
      </c>
      <c r="H43" s="991">
        <f>industrie!G22</f>
        <v>0</v>
      </c>
      <c r="I43" s="991">
        <f>industrie!H22</f>
        <v>0</v>
      </c>
      <c r="J43" s="991">
        <f>industrie!I22</f>
        <v>0</v>
      </c>
      <c r="K43" s="991">
        <f>industrie!J22</f>
        <v>411.82149816210676</v>
      </c>
      <c r="L43" s="991">
        <f>industrie!K22</f>
        <v>0</v>
      </c>
      <c r="M43" s="991">
        <f>industrie!L22</f>
        <v>0</v>
      </c>
      <c r="N43" s="991">
        <f>industrie!M22</f>
        <v>0</v>
      </c>
      <c r="O43" s="991">
        <f>industrie!N22</f>
        <v>0</v>
      </c>
      <c r="P43" s="991">
        <f>industrie!O22</f>
        <v>0</v>
      </c>
      <c r="Q43" s="749">
        <f>industrie!P22</f>
        <v>0</v>
      </c>
      <c r="R43" s="824">
        <f t="shared" ca="1" si="4"/>
        <v>94124.342386861696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40162.168354833404</v>
      </c>
      <c r="D46" s="707">
        <f t="shared" ref="D46:Q46" ca="1" si="5">SUM(D39:D45)</f>
        <v>0</v>
      </c>
      <c r="E46" s="707">
        <f t="shared" ca="1" si="5"/>
        <v>80279.715194492004</v>
      </c>
      <c r="F46" s="707">
        <f t="shared" si="5"/>
        <v>10050.048030397724</v>
      </c>
      <c r="G46" s="707">
        <f t="shared" ca="1" si="5"/>
        <v>51137.586582294585</v>
      </c>
      <c r="H46" s="707">
        <f t="shared" si="5"/>
        <v>0</v>
      </c>
      <c r="I46" s="707">
        <f t="shared" si="5"/>
        <v>0</v>
      </c>
      <c r="J46" s="707">
        <f t="shared" si="5"/>
        <v>0</v>
      </c>
      <c r="K46" s="707">
        <f t="shared" si="5"/>
        <v>411.82149816210676</v>
      </c>
      <c r="L46" s="707">
        <f t="shared" si="5"/>
        <v>0</v>
      </c>
      <c r="M46" s="707">
        <f t="shared" ca="1" si="5"/>
        <v>0</v>
      </c>
      <c r="N46" s="707">
        <f t="shared" si="5"/>
        <v>0</v>
      </c>
      <c r="O46" s="707">
        <f t="shared" ca="1" si="5"/>
        <v>0</v>
      </c>
      <c r="P46" s="707">
        <f t="shared" si="5"/>
        <v>0</v>
      </c>
      <c r="Q46" s="707">
        <f t="shared" si="5"/>
        <v>0</v>
      </c>
      <c r="R46" s="707">
        <f ca="1">SUM(R39:R45)</f>
        <v>182041.33966017986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610.10071832139556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610.10071832139556</v>
      </c>
    </row>
    <row r="50" spans="1:18">
      <c r="A50" s="800" t="s">
        <v>306</v>
      </c>
      <c r="B50" s="810"/>
      <c r="C50" s="678">
        <f ca="1">transport!B18</f>
        <v>3.1627218962118713</v>
      </c>
      <c r="D50" s="678">
        <f>transport!C18</f>
        <v>0</v>
      </c>
      <c r="E50" s="678">
        <f>transport!D18</f>
        <v>8.5894205179492555</v>
      </c>
      <c r="F50" s="678">
        <f>transport!E18</f>
        <v>91.903601941173903</v>
      </c>
      <c r="G50" s="678">
        <f>transport!F18</f>
        <v>0</v>
      </c>
      <c r="H50" s="678">
        <f>transport!G18</f>
        <v>31225.148559629361</v>
      </c>
      <c r="I50" s="678">
        <f>transport!H18</f>
        <v>6413.4928840413277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37742.297188026023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3.1627218962118713</v>
      </c>
      <c r="D52" s="707">
        <f t="shared" ref="D52:Q52" ca="1" si="6">SUM(D48:D51)</f>
        <v>0</v>
      </c>
      <c r="E52" s="707">
        <f t="shared" si="6"/>
        <v>8.5894205179492555</v>
      </c>
      <c r="F52" s="707">
        <f t="shared" si="6"/>
        <v>91.903601941173903</v>
      </c>
      <c r="G52" s="707">
        <f t="shared" si="6"/>
        <v>0</v>
      </c>
      <c r="H52" s="707">
        <f t="shared" si="6"/>
        <v>31835.249277950756</v>
      </c>
      <c r="I52" s="707">
        <f t="shared" si="6"/>
        <v>6413.4928840413277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38352.397906347418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93.971864694243351</v>
      </c>
      <c r="D54" s="678">
        <f ca="1">+landbouw!C12</f>
        <v>0</v>
      </c>
      <c r="E54" s="678">
        <f>+landbouw!D12</f>
        <v>80.124391204000005</v>
      </c>
      <c r="F54" s="678">
        <f>+landbouw!E12</f>
        <v>1.3221437942910963</v>
      </c>
      <c r="G54" s="678">
        <f>+landbouw!F12</f>
        <v>425.9834790228378</v>
      </c>
      <c r="H54" s="678">
        <f>+landbouw!G12</f>
        <v>0</v>
      </c>
      <c r="I54" s="678">
        <f>+landbouw!H12</f>
        <v>0</v>
      </c>
      <c r="J54" s="678">
        <f>+landbouw!I12</f>
        <v>0</v>
      </c>
      <c r="K54" s="678">
        <f>+landbouw!J12</f>
        <v>34.127576589147267</v>
      </c>
      <c r="L54" s="678">
        <f>+landbouw!K12</f>
        <v>0</v>
      </c>
      <c r="M54" s="678">
        <f>+landbouw!L12</f>
        <v>0</v>
      </c>
      <c r="N54" s="678">
        <f>+landbouw!M12</f>
        <v>0</v>
      </c>
      <c r="O54" s="678">
        <f>+landbouw!N12</f>
        <v>0</v>
      </c>
      <c r="P54" s="678">
        <f>+landbouw!O12</f>
        <v>0</v>
      </c>
      <c r="Q54" s="679">
        <f>+landbouw!P12</f>
        <v>0</v>
      </c>
      <c r="R54" s="706">
        <f ca="1">SUM(C54:Q54)</f>
        <v>635.5294553045195</v>
      </c>
    </row>
    <row r="55" spans="1:18" ht="15" thickBot="1">
      <c r="A55" s="800" t="s">
        <v>849</v>
      </c>
      <c r="B55" s="810"/>
      <c r="C55" s="678">
        <f ca="1">C25*'EF ele_warmte'!B12</f>
        <v>238.49659146377439</v>
      </c>
      <c r="D55" s="678"/>
      <c r="E55" s="678">
        <f>E25*EF_CO2_aardgas</f>
        <v>537.83409000000006</v>
      </c>
      <c r="F55" s="678"/>
      <c r="G55" s="678"/>
      <c r="H55" s="678"/>
      <c r="I55" s="678"/>
      <c r="J55" s="678"/>
      <c r="K55" s="678"/>
      <c r="L55" s="678"/>
      <c r="M55" s="678"/>
      <c r="N55" s="678"/>
      <c r="O55" s="678"/>
      <c r="P55" s="678"/>
      <c r="Q55" s="679"/>
      <c r="R55" s="706">
        <f ca="1">SUM(C55:Q55)</f>
        <v>776.33068146377445</v>
      </c>
    </row>
    <row r="56" spans="1:18" ht="15.75" thickBot="1">
      <c r="A56" s="798" t="s">
        <v>850</v>
      </c>
      <c r="B56" s="811"/>
      <c r="C56" s="707">
        <f ca="1">SUM(C54:C55)</f>
        <v>332.46845615801772</v>
      </c>
      <c r="D56" s="707">
        <f t="shared" ref="D56:Q56" ca="1" si="7">SUM(D54:D55)</f>
        <v>0</v>
      </c>
      <c r="E56" s="707">
        <f t="shared" si="7"/>
        <v>617.95848120400001</v>
      </c>
      <c r="F56" s="707">
        <f t="shared" si="7"/>
        <v>1.3221437942910963</v>
      </c>
      <c r="G56" s="707">
        <f t="shared" si="7"/>
        <v>425.9834790228378</v>
      </c>
      <c r="H56" s="707">
        <f t="shared" si="7"/>
        <v>0</v>
      </c>
      <c r="I56" s="707">
        <f t="shared" si="7"/>
        <v>0</v>
      </c>
      <c r="J56" s="707">
        <f t="shared" si="7"/>
        <v>0</v>
      </c>
      <c r="K56" s="707">
        <f t="shared" si="7"/>
        <v>34.127576589147267</v>
      </c>
      <c r="L56" s="707">
        <f t="shared" si="7"/>
        <v>0</v>
      </c>
      <c r="M56" s="707">
        <f t="shared" si="7"/>
        <v>0</v>
      </c>
      <c r="N56" s="707">
        <f t="shared" si="7"/>
        <v>0</v>
      </c>
      <c r="O56" s="707">
        <f t="shared" si="7"/>
        <v>0</v>
      </c>
      <c r="P56" s="707">
        <f t="shared" si="7"/>
        <v>0</v>
      </c>
      <c r="Q56" s="708">
        <f t="shared" si="7"/>
        <v>0</v>
      </c>
      <c r="R56" s="709">
        <f ca="1">SUM(R54:R55)</f>
        <v>1411.8601367682941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40497.799532887628</v>
      </c>
      <c r="D61" s="715">
        <f t="shared" ref="D61:Q61" ca="1" si="8">D46+D52+D56</f>
        <v>0</v>
      </c>
      <c r="E61" s="715">
        <f t="shared" ca="1" si="8"/>
        <v>80906.263096213952</v>
      </c>
      <c r="F61" s="715">
        <f t="shared" si="8"/>
        <v>10143.273776133188</v>
      </c>
      <c r="G61" s="715">
        <f t="shared" ca="1" si="8"/>
        <v>51563.570061317419</v>
      </c>
      <c r="H61" s="715">
        <f t="shared" si="8"/>
        <v>31835.249277950756</v>
      </c>
      <c r="I61" s="715">
        <f t="shared" si="8"/>
        <v>6413.4928840413277</v>
      </c>
      <c r="J61" s="715">
        <f t="shared" si="8"/>
        <v>0</v>
      </c>
      <c r="K61" s="715">
        <f t="shared" si="8"/>
        <v>445.94907475125405</v>
      </c>
      <c r="L61" s="715">
        <f t="shared" si="8"/>
        <v>0</v>
      </c>
      <c r="M61" s="715">
        <f t="shared" ca="1" si="8"/>
        <v>0</v>
      </c>
      <c r="N61" s="715">
        <f t="shared" si="8"/>
        <v>0</v>
      </c>
      <c r="O61" s="715">
        <f t="shared" ca="1" si="8"/>
        <v>0</v>
      </c>
      <c r="P61" s="715">
        <f t="shared" si="8"/>
        <v>0</v>
      </c>
      <c r="Q61" s="715">
        <f t="shared" si="8"/>
        <v>0</v>
      </c>
      <c r="R61" s="715">
        <f ca="1">R46+R52+R56</f>
        <v>221805.59770329556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0.14944088351450777</v>
      </c>
      <c r="D63" s="756">
        <f t="shared" ca="1" si="9"/>
        <v>0</v>
      </c>
      <c r="E63" s="1002">
        <f t="shared" ca="1" si="9"/>
        <v>0.20200000000000004</v>
      </c>
      <c r="F63" s="756">
        <f t="shared" si="9"/>
        <v>0.22699999999999992</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45550.45632717471</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24080.032363466293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18117</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21314.117647058822</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87747.48869064101</v>
      </c>
      <c r="C78" s="730">
        <f>SUM(C72:C77)</f>
        <v>0</v>
      </c>
      <c r="D78" s="731">
        <f t="shared" ref="D78:H78" si="10">SUM(D76:D77)</f>
        <v>0</v>
      </c>
      <c r="E78" s="731">
        <f t="shared" si="10"/>
        <v>0</v>
      </c>
      <c r="F78" s="731">
        <f t="shared" si="10"/>
        <v>0</v>
      </c>
      <c r="G78" s="731">
        <f t="shared" si="10"/>
        <v>0</v>
      </c>
      <c r="H78" s="731">
        <f t="shared" si="10"/>
        <v>0</v>
      </c>
      <c r="I78" s="731">
        <f>SUM(I76:I77)</f>
        <v>0</v>
      </c>
      <c r="J78" s="731">
        <f>SUM(J76:J77)</f>
        <v>21314.117647058822</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25881.428571428572</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30448.739495798323</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25881.428571428572</v>
      </c>
      <c r="C90" s="730">
        <f>SUM(C87:C89)</f>
        <v>0</v>
      </c>
      <c r="D90" s="730">
        <f t="shared" ref="D90:H90" si="12">SUM(D87:D89)</f>
        <v>0</v>
      </c>
      <c r="E90" s="730">
        <f t="shared" si="12"/>
        <v>0</v>
      </c>
      <c r="F90" s="730">
        <f t="shared" si="12"/>
        <v>0</v>
      </c>
      <c r="G90" s="730">
        <f t="shared" si="12"/>
        <v>0</v>
      </c>
      <c r="H90" s="730">
        <f t="shared" si="12"/>
        <v>0</v>
      </c>
      <c r="I90" s="730">
        <f>SUM(I87:I89)</f>
        <v>0</v>
      </c>
      <c r="J90" s="730">
        <f>SUM(J87:J89)</f>
        <v>30448.739495798323</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45550.45632717471</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24080.032363466293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18117</v>
      </c>
      <c r="C8" s="545">
        <f>B48</f>
        <v>0</v>
      </c>
      <c r="D8" s="1022"/>
      <c r="E8" s="1022">
        <f>E48</f>
        <v>0</v>
      </c>
      <c r="F8" s="1023"/>
      <c r="G8" s="546"/>
      <c r="H8" s="1022">
        <f>I48</f>
        <v>0</v>
      </c>
      <c r="I8" s="1022">
        <f>G48+F48</f>
        <v>0</v>
      </c>
      <c r="J8" s="1022">
        <f>H48+D48+C48</f>
        <v>21314.117647058822</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87747.48869064101</v>
      </c>
      <c r="C10" s="558">
        <f t="shared" ref="C10:L10" si="0">SUM(C8:C9)</f>
        <v>0</v>
      </c>
      <c r="D10" s="558">
        <f t="shared" si="0"/>
        <v>0</v>
      </c>
      <c r="E10" s="558">
        <f t="shared" si="0"/>
        <v>0</v>
      </c>
      <c r="F10" s="558">
        <f t="shared" si="0"/>
        <v>0</v>
      </c>
      <c r="G10" s="558">
        <f t="shared" si="0"/>
        <v>0</v>
      </c>
      <c r="H10" s="558">
        <f t="shared" si="0"/>
        <v>0</v>
      </c>
      <c r="I10" s="558">
        <f t="shared" si="0"/>
        <v>0</v>
      </c>
      <c r="J10" s="558">
        <f t="shared" si="0"/>
        <v>21314.117647058822</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25881.428571428572</v>
      </c>
      <c r="C17" s="570">
        <f>B49</f>
        <v>0</v>
      </c>
      <c r="D17" s="571"/>
      <c r="E17" s="571">
        <f>E49</f>
        <v>0</v>
      </c>
      <c r="F17" s="1028"/>
      <c r="G17" s="572"/>
      <c r="H17" s="570">
        <f>I49</f>
        <v>0</v>
      </c>
      <c r="I17" s="571">
        <f>G49+F49</f>
        <v>0</v>
      </c>
      <c r="J17" s="571">
        <f>H49+D49+C49</f>
        <v>30448.739495798323</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25881.428571428572</v>
      </c>
      <c r="C20" s="557">
        <f>SUM(C17:C19)</f>
        <v>0</v>
      </c>
      <c r="D20" s="557">
        <f t="shared" ref="D20:L20" si="1">SUM(D17:D19)</f>
        <v>0</v>
      </c>
      <c r="E20" s="557">
        <f t="shared" si="1"/>
        <v>0</v>
      </c>
      <c r="F20" s="557">
        <f t="shared" si="1"/>
        <v>0</v>
      </c>
      <c r="G20" s="557">
        <f t="shared" si="1"/>
        <v>0</v>
      </c>
      <c r="H20" s="557">
        <f t="shared" si="1"/>
        <v>0</v>
      </c>
      <c r="I20" s="557">
        <f t="shared" si="1"/>
        <v>0</v>
      </c>
      <c r="J20" s="557">
        <f t="shared" si="1"/>
        <v>30448.739495798323</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72020</v>
      </c>
      <c r="C28" s="771">
        <v>3920</v>
      </c>
      <c r="D28" s="628" t="s">
        <v>913</v>
      </c>
      <c r="E28" s="627" t="s">
        <v>914</v>
      </c>
      <c r="F28" s="627" t="s">
        <v>915</v>
      </c>
      <c r="G28" s="627" t="s">
        <v>916</v>
      </c>
      <c r="H28" s="627" t="s">
        <v>917</v>
      </c>
      <c r="I28" s="627" t="s">
        <v>918</v>
      </c>
      <c r="J28" s="770">
        <v>39532</v>
      </c>
      <c r="K28" s="770">
        <v>39873</v>
      </c>
      <c r="L28" s="627" t="s">
        <v>919</v>
      </c>
      <c r="M28" s="627">
        <v>4026</v>
      </c>
      <c r="N28" s="627">
        <v>18117</v>
      </c>
      <c r="O28" s="627">
        <v>25881.428571428572</v>
      </c>
      <c r="P28" s="627">
        <v>0</v>
      </c>
      <c r="Q28" s="627">
        <v>51762.857142857145</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4026</v>
      </c>
      <c r="N29" s="585">
        <f>SUM(N28:N28)</f>
        <v>18117</v>
      </c>
      <c r="O29" s="585">
        <f>SUM(O28:O28)</f>
        <v>25881.428571428572</v>
      </c>
      <c r="P29" s="585">
        <f>SUM(P28:P28)</f>
        <v>0</v>
      </c>
      <c r="Q29" s="585">
        <f>SUM(Q28:Q28)</f>
        <v>51762.857142857145</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4026</v>
      </c>
      <c r="N31" s="585">
        <f ca="1">SUMIF($Z$28:AD28,"tertiair",N28:N28)</f>
        <v>18117</v>
      </c>
      <c r="O31" s="585">
        <f ca="1">SUMIF($Z$28:AE28,"tertiair",O28:O28)</f>
        <v>25881.428571428572</v>
      </c>
      <c r="P31" s="585">
        <f ca="1">SUMIF($Z$28:AF28,"tertiair",P28:P28)</f>
        <v>0</v>
      </c>
      <c r="Q31" s="585">
        <f ca="1">SUMIF($Z$28:AG28,"tertiair",Q28:Q28)</f>
        <v>51762.857142857145</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21314.117647058822</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30448.739495798323</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61540.106745842175</v>
      </c>
      <c r="C4" s="452">
        <f>huishoudens!C8</f>
        <v>0</v>
      </c>
      <c r="D4" s="452">
        <f>huishoudens!D8</f>
        <v>121154.857648</v>
      </c>
      <c r="E4" s="452">
        <f>huishoudens!E8</f>
        <v>36541.565505014798</v>
      </c>
      <c r="F4" s="452">
        <f>huishoudens!F8</f>
        <v>59103.752776159949</v>
      </c>
      <c r="G4" s="452">
        <f>huishoudens!G8</f>
        <v>0</v>
      </c>
      <c r="H4" s="452">
        <f>huishoudens!H8</f>
        <v>0</v>
      </c>
      <c r="I4" s="452">
        <f>huishoudens!I8</f>
        <v>0</v>
      </c>
      <c r="J4" s="452">
        <f>huishoudens!J8</f>
        <v>0</v>
      </c>
      <c r="K4" s="452">
        <f>huishoudens!K8</f>
        <v>0</v>
      </c>
      <c r="L4" s="452">
        <f>huishoudens!L8</f>
        <v>0</v>
      </c>
      <c r="M4" s="452">
        <f>huishoudens!M8</f>
        <v>0</v>
      </c>
      <c r="N4" s="452">
        <f>huishoudens!N8</f>
        <v>28746.513303025389</v>
      </c>
      <c r="O4" s="452">
        <f>huishoudens!O8</f>
        <v>698.81000000000006</v>
      </c>
      <c r="P4" s="453">
        <f>huishoudens!P8</f>
        <v>1258.4000000000001</v>
      </c>
      <c r="Q4" s="454">
        <f>SUM(B4:P4)</f>
        <v>309044.00597804232</v>
      </c>
    </row>
    <row r="5" spans="1:17">
      <c r="A5" s="451" t="s">
        <v>155</v>
      </c>
      <c r="B5" s="452">
        <f ca="1">tertiair!B16</f>
        <v>87395.344932944601</v>
      </c>
      <c r="C5" s="452">
        <f ca="1">tertiair!C16</f>
        <v>25881.428571428572</v>
      </c>
      <c r="D5" s="452">
        <f ca="1">tertiair!D16</f>
        <v>66412.514630000005</v>
      </c>
      <c r="E5" s="452">
        <f>tertiair!E16</f>
        <v>828.86691420758564</v>
      </c>
      <c r="F5" s="452">
        <f ca="1">tertiair!F16</f>
        <v>12015.598549940258</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3.1266666666666669</v>
      </c>
      <c r="P5" s="453">
        <f>tertiair!P16</f>
        <v>57.2</v>
      </c>
      <c r="Q5" s="451">
        <f t="shared" ref="Q5:Q14" ca="1" si="0">SUM(B5:P5)</f>
        <v>192594.08026518772</v>
      </c>
    </row>
    <row r="6" spans="1:17">
      <c r="A6" s="451" t="s">
        <v>193</v>
      </c>
      <c r="B6" s="452">
        <f>'openbare verlichting'!B8</f>
        <v>2003.385</v>
      </c>
      <c r="C6" s="452"/>
      <c r="D6" s="452"/>
      <c r="E6" s="452"/>
      <c r="F6" s="452"/>
      <c r="G6" s="452"/>
      <c r="H6" s="452"/>
      <c r="I6" s="452"/>
      <c r="J6" s="452"/>
      <c r="K6" s="452"/>
      <c r="L6" s="452"/>
      <c r="M6" s="452"/>
      <c r="N6" s="452"/>
      <c r="O6" s="452"/>
      <c r="P6" s="453"/>
      <c r="Q6" s="451">
        <f t="shared" si="0"/>
        <v>2003.385</v>
      </c>
    </row>
    <row r="7" spans="1:17">
      <c r="A7" s="451" t="s">
        <v>111</v>
      </c>
      <c r="B7" s="452">
        <f>landbouw!B8</f>
        <v>628.82299999999998</v>
      </c>
      <c r="C7" s="452">
        <f>landbouw!C8</f>
        <v>0</v>
      </c>
      <c r="D7" s="452">
        <f>landbouw!D8</f>
        <v>396.65540199999998</v>
      </c>
      <c r="E7" s="452">
        <f>landbouw!E8</f>
        <v>5.824422001282362</v>
      </c>
      <c r="F7" s="452">
        <f>landbouw!F8</f>
        <v>1595.4437416585683</v>
      </c>
      <c r="G7" s="452">
        <f>landbouw!G8</f>
        <v>0</v>
      </c>
      <c r="H7" s="452">
        <f>landbouw!H8</f>
        <v>0</v>
      </c>
      <c r="I7" s="452">
        <f>landbouw!I8</f>
        <v>0</v>
      </c>
      <c r="J7" s="452">
        <f>landbouw!J8</f>
        <v>96.405583585161779</v>
      </c>
      <c r="K7" s="452">
        <f>landbouw!K8</f>
        <v>0</v>
      </c>
      <c r="L7" s="452">
        <f>landbouw!L8</f>
        <v>0</v>
      </c>
      <c r="M7" s="452">
        <f>landbouw!M8</f>
        <v>0</v>
      </c>
      <c r="N7" s="452">
        <f>landbouw!N8</f>
        <v>0</v>
      </c>
      <c r="O7" s="452">
        <f>landbouw!O8</f>
        <v>0</v>
      </c>
      <c r="P7" s="453">
        <f>landbouw!P8</f>
        <v>0</v>
      </c>
      <c r="Q7" s="451">
        <f t="shared" si="0"/>
        <v>2723.1521492450124</v>
      </c>
    </row>
    <row r="8" spans="1:17">
      <c r="A8" s="451" t="s">
        <v>649</v>
      </c>
      <c r="B8" s="452">
        <f>industrie!B18</f>
        <v>117810.70099999999</v>
      </c>
      <c r="C8" s="452">
        <f>industrie!C18</f>
        <v>0</v>
      </c>
      <c r="D8" s="452">
        <f>industrie!D18</f>
        <v>209856.960368</v>
      </c>
      <c r="E8" s="452">
        <f>industrie!E18</f>
        <v>6902.9069217367578</v>
      </c>
      <c r="F8" s="452">
        <f>industrie!F18</f>
        <v>120407.19018062108</v>
      </c>
      <c r="G8" s="452">
        <f>industrie!G18</f>
        <v>0</v>
      </c>
      <c r="H8" s="452">
        <f>industrie!H18</f>
        <v>0</v>
      </c>
      <c r="I8" s="452">
        <f>industrie!I18</f>
        <v>0</v>
      </c>
      <c r="J8" s="452">
        <f>industrie!J18</f>
        <v>1163.3375654296801</v>
      </c>
      <c r="K8" s="452">
        <f>industrie!K18</f>
        <v>0</v>
      </c>
      <c r="L8" s="452">
        <f>industrie!L18</f>
        <v>0</v>
      </c>
      <c r="M8" s="452">
        <f>industrie!M18</f>
        <v>0</v>
      </c>
      <c r="N8" s="452">
        <f>industrie!N18</f>
        <v>28286.082278370784</v>
      </c>
      <c r="O8" s="452">
        <f>industrie!O18</f>
        <v>0</v>
      </c>
      <c r="P8" s="453">
        <f>industrie!P18</f>
        <v>0</v>
      </c>
      <c r="Q8" s="451">
        <f t="shared" si="0"/>
        <v>484427.17831415834</v>
      </c>
    </row>
    <row r="9" spans="1:17" s="457" customFormat="1">
      <c r="A9" s="455" t="s">
        <v>570</v>
      </c>
      <c r="B9" s="456">
        <f>transport!B14</f>
        <v>21.163699128591087</v>
      </c>
      <c r="C9" s="456">
        <f>transport!C14</f>
        <v>0</v>
      </c>
      <c r="D9" s="456">
        <f>transport!D14</f>
        <v>42.521883752224035</v>
      </c>
      <c r="E9" s="456">
        <f>transport!E14</f>
        <v>404.86168256023745</v>
      </c>
      <c r="F9" s="456">
        <f>transport!F14</f>
        <v>0</v>
      </c>
      <c r="G9" s="456">
        <f>transport!G14</f>
        <v>116948.12194617737</v>
      </c>
      <c r="H9" s="456">
        <f>transport!H14</f>
        <v>25756.999534302522</v>
      </c>
      <c r="I9" s="456">
        <f>transport!I14</f>
        <v>0</v>
      </c>
      <c r="J9" s="456">
        <f>transport!J14</f>
        <v>0</v>
      </c>
      <c r="K9" s="456">
        <f>transport!K14</f>
        <v>0</v>
      </c>
      <c r="L9" s="456">
        <f>transport!L14</f>
        <v>0</v>
      </c>
      <c r="M9" s="456">
        <f>transport!M14</f>
        <v>7565.9813438145939</v>
      </c>
      <c r="N9" s="456">
        <f>transport!N14</f>
        <v>0</v>
      </c>
      <c r="O9" s="456">
        <f>transport!O14</f>
        <v>0</v>
      </c>
      <c r="P9" s="456">
        <f>transport!P14</f>
        <v>0</v>
      </c>
      <c r="Q9" s="455">
        <f>SUM(B9:P9)</f>
        <v>150739.65008973551</v>
      </c>
    </row>
    <row r="10" spans="1:17">
      <c r="A10" s="451" t="s">
        <v>560</v>
      </c>
      <c r="B10" s="452">
        <f>transport!B54</f>
        <v>0</v>
      </c>
      <c r="C10" s="452">
        <f>transport!C54</f>
        <v>0</v>
      </c>
      <c r="D10" s="452">
        <f>transport!D54</f>
        <v>0</v>
      </c>
      <c r="E10" s="452">
        <f>transport!E54</f>
        <v>0</v>
      </c>
      <c r="F10" s="452">
        <f>transport!F54</f>
        <v>0</v>
      </c>
      <c r="G10" s="452">
        <f>transport!G54</f>
        <v>2285.0214169340657</v>
      </c>
      <c r="H10" s="452">
        <f>transport!H54</f>
        <v>0</v>
      </c>
      <c r="I10" s="452">
        <f>transport!I54</f>
        <v>0</v>
      </c>
      <c r="J10" s="452">
        <f>transport!J54</f>
        <v>0</v>
      </c>
      <c r="K10" s="452">
        <f>transport!K54</f>
        <v>0</v>
      </c>
      <c r="L10" s="452">
        <f>transport!L54</f>
        <v>0</v>
      </c>
      <c r="M10" s="452">
        <f>transport!M54</f>
        <v>130.60486925423717</v>
      </c>
      <c r="N10" s="452">
        <f>transport!N54</f>
        <v>0</v>
      </c>
      <c r="O10" s="452">
        <f>transport!O54</f>
        <v>0</v>
      </c>
      <c r="P10" s="453">
        <f>transport!P54</f>
        <v>0</v>
      </c>
      <c r="Q10" s="451">
        <f t="shared" si="0"/>
        <v>2415.6262861883029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1595.9259999999999</v>
      </c>
      <c r="C14" s="459"/>
      <c r="D14" s="459">
        <f>'SEAP template'!E25</f>
        <v>2662.5450000000001</v>
      </c>
      <c r="E14" s="459"/>
      <c r="F14" s="459"/>
      <c r="G14" s="459"/>
      <c r="H14" s="459"/>
      <c r="I14" s="459"/>
      <c r="J14" s="459"/>
      <c r="K14" s="459"/>
      <c r="L14" s="459"/>
      <c r="M14" s="459"/>
      <c r="N14" s="459"/>
      <c r="O14" s="459"/>
      <c r="P14" s="460"/>
      <c r="Q14" s="451">
        <f t="shared" si="0"/>
        <v>4258.4709999999995</v>
      </c>
    </row>
    <row r="15" spans="1:17" s="461" customFormat="1">
      <c r="A15" s="1017" t="s">
        <v>564</v>
      </c>
      <c r="B15" s="957">
        <f ca="1">SUM(B4:B14)</f>
        <v>270995.45037791535</v>
      </c>
      <c r="C15" s="957">
        <f t="shared" ref="C15:Q15" ca="1" si="1">SUM(C4:C14)</f>
        <v>25881.428571428572</v>
      </c>
      <c r="D15" s="957">
        <f t="shared" ca="1" si="1"/>
        <v>400526.05493175221</v>
      </c>
      <c r="E15" s="957">
        <f t="shared" si="1"/>
        <v>44684.025445520667</v>
      </c>
      <c r="F15" s="957">
        <f t="shared" ca="1" si="1"/>
        <v>193121.98524837987</v>
      </c>
      <c r="G15" s="957">
        <f t="shared" si="1"/>
        <v>119233.14336311143</v>
      </c>
      <c r="H15" s="957">
        <f t="shared" si="1"/>
        <v>25756.999534302522</v>
      </c>
      <c r="I15" s="957">
        <f t="shared" si="1"/>
        <v>0</v>
      </c>
      <c r="J15" s="957">
        <f t="shared" si="1"/>
        <v>1259.7431490148419</v>
      </c>
      <c r="K15" s="957">
        <f t="shared" si="1"/>
        <v>0</v>
      </c>
      <c r="L15" s="957">
        <f t="shared" ca="1" si="1"/>
        <v>0</v>
      </c>
      <c r="M15" s="957">
        <f t="shared" si="1"/>
        <v>7696.5862130688311</v>
      </c>
      <c r="N15" s="957">
        <f t="shared" ca="1" si="1"/>
        <v>57032.595581396177</v>
      </c>
      <c r="O15" s="957">
        <f t="shared" si="1"/>
        <v>701.93666666666672</v>
      </c>
      <c r="P15" s="957">
        <f t="shared" si="1"/>
        <v>1315.6000000000001</v>
      </c>
      <c r="Q15" s="957">
        <f t="shared" ca="1" si="1"/>
        <v>1148205.5490825572</v>
      </c>
    </row>
    <row r="17" spans="1:17">
      <c r="A17" s="462" t="s">
        <v>565</v>
      </c>
      <c r="B17" s="761">
        <f ca="1">huishoudens!B10</f>
        <v>0.14944088351450782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9196.6079236757778</v>
      </c>
      <c r="C22" s="452">
        <f t="shared" ref="C22:C32" ca="1" si="3">C4*$C$17</f>
        <v>0</v>
      </c>
      <c r="D22" s="452">
        <f t="shared" ref="D22:D32" si="4">D4*$D$17</f>
        <v>24473.281244896003</v>
      </c>
      <c r="E22" s="452">
        <f t="shared" ref="E22:E32" si="5">E4*$E$17</f>
        <v>8294.9353696383587</v>
      </c>
      <c r="F22" s="452">
        <f t="shared" ref="F22:F32" si="6">F4*$F$17</f>
        <v>15780.701991234708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57745.526529444855</v>
      </c>
    </row>
    <row r="23" spans="1:17">
      <c r="A23" s="451" t="s">
        <v>155</v>
      </c>
      <c r="B23" s="452">
        <f t="shared" ca="1" si="2"/>
        <v>13060.437561834406</v>
      </c>
      <c r="C23" s="452">
        <f t="shared" ca="1" si="3"/>
        <v>0</v>
      </c>
      <c r="D23" s="452">
        <f t="shared" ca="1" si="4"/>
        <v>13415.327955260002</v>
      </c>
      <c r="E23" s="452">
        <f t="shared" si="5"/>
        <v>188.15278952512193</v>
      </c>
      <c r="F23" s="452">
        <f t="shared" ca="1" si="6"/>
        <v>3208.1648128340489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29872.083119453575</v>
      </c>
    </row>
    <row r="24" spans="1:17">
      <c r="A24" s="451" t="s">
        <v>193</v>
      </c>
      <c r="B24" s="452">
        <f t="shared" ca="1" si="2"/>
        <v>299.38762441971227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299.38762441971227</v>
      </c>
    </row>
    <row r="25" spans="1:17">
      <c r="A25" s="451" t="s">
        <v>111</v>
      </c>
      <c r="B25" s="452">
        <f t="shared" ca="1" si="2"/>
        <v>93.971864694243351</v>
      </c>
      <c r="C25" s="452">
        <f t="shared" ca="1" si="3"/>
        <v>0</v>
      </c>
      <c r="D25" s="452">
        <f t="shared" si="4"/>
        <v>80.124391204000005</v>
      </c>
      <c r="E25" s="452">
        <f t="shared" si="5"/>
        <v>1.3221437942910963</v>
      </c>
      <c r="F25" s="452">
        <f t="shared" si="6"/>
        <v>425.9834790228378</v>
      </c>
      <c r="G25" s="452">
        <f t="shared" si="7"/>
        <v>0</v>
      </c>
      <c r="H25" s="452">
        <f t="shared" si="8"/>
        <v>0</v>
      </c>
      <c r="I25" s="452">
        <f t="shared" si="9"/>
        <v>0</v>
      </c>
      <c r="J25" s="452">
        <f t="shared" si="10"/>
        <v>34.127576589147267</v>
      </c>
      <c r="K25" s="452">
        <f t="shared" si="11"/>
        <v>0</v>
      </c>
      <c r="L25" s="452">
        <f t="shared" si="12"/>
        <v>0</v>
      </c>
      <c r="M25" s="452">
        <f t="shared" si="13"/>
        <v>0</v>
      </c>
      <c r="N25" s="452">
        <f t="shared" si="14"/>
        <v>0</v>
      </c>
      <c r="O25" s="452">
        <f t="shared" si="15"/>
        <v>0</v>
      </c>
      <c r="P25" s="453">
        <f t="shared" si="16"/>
        <v>0</v>
      </c>
      <c r="Q25" s="451">
        <f t="shared" ca="1" si="17"/>
        <v>635.5294553045195</v>
      </c>
    </row>
    <row r="26" spans="1:17">
      <c r="A26" s="451" t="s">
        <v>649</v>
      </c>
      <c r="B26" s="452">
        <f t="shared" ca="1" si="2"/>
        <v>17605.73524490351</v>
      </c>
      <c r="C26" s="452">
        <f t="shared" ca="1" si="3"/>
        <v>0</v>
      </c>
      <c r="D26" s="452">
        <f t="shared" si="4"/>
        <v>42391.105994336001</v>
      </c>
      <c r="E26" s="452">
        <f t="shared" si="5"/>
        <v>1566.959871234244</v>
      </c>
      <c r="F26" s="452">
        <f t="shared" si="6"/>
        <v>32148.71977822583</v>
      </c>
      <c r="G26" s="452">
        <f t="shared" si="7"/>
        <v>0</v>
      </c>
      <c r="H26" s="452">
        <f t="shared" si="8"/>
        <v>0</v>
      </c>
      <c r="I26" s="452">
        <f t="shared" si="9"/>
        <v>0</v>
      </c>
      <c r="J26" s="452">
        <f t="shared" si="10"/>
        <v>411.82149816210676</v>
      </c>
      <c r="K26" s="452">
        <f t="shared" si="11"/>
        <v>0</v>
      </c>
      <c r="L26" s="452">
        <f t="shared" si="12"/>
        <v>0</v>
      </c>
      <c r="M26" s="452">
        <f t="shared" si="13"/>
        <v>0</v>
      </c>
      <c r="N26" s="452">
        <f t="shared" si="14"/>
        <v>0</v>
      </c>
      <c r="O26" s="452">
        <f t="shared" si="15"/>
        <v>0</v>
      </c>
      <c r="P26" s="453">
        <f t="shared" si="16"/>
        <v>0</v>
      </c>
      <c r="Q26" s="451">
        <f t="shared" ca="1" si="17"/>
        <v>94124.342386861696</v>
      </c>
    </row>
    <row r="27" spans="1:17" s="457" customFormat="1">
      <c r="A27" s="455" t="s">
        <v>570</v>
      </c>
      <c r="B27" s="755">
        <f t="shared" ca="1" si="2"/>
        <v>3.1627218962118713</v>
      </c>
      <c r="C27" s="456">
        <f t="shared" ca="1" si="3"/>
        <v>0</v>
      </c>
      <c r="D27" s="456">
        <f t="shared" si="4"/>
        <v>8.5894205179492555</v>
      </c>
      <c r="E27" s="456">
        <f t="shared" si="5"/>
        <v>91.903601941173903</v>
      </c>
      <c r="F27" s="456">
        <f t="shared" si="6"/>
        <v>0</v>
      </c>
      <c r="G27" s="456">
        <f t="shared" si="7"/>
        <v>31225.148559629361</v>
      </c>
      <c r="H27" s="456">
        <f t="shared" si="8"/>
        <v>6413.4928840413277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37742.297188026023</v>
      </c>
    </row>
    <row r="28" spans="1:17">
      <c r="A28" s="451" t="s">
        <v>560</v>
      </c>
      <c r="B28" s="452">
        <f t="shared" ca="1" si="2"/>
        <v>0</v>
      </c>
      <c r="C28" s="452">
        <f t="shared" ca="1" si="3"/>
        <v>0</v>
      </c>
      <c r="D28" s="452">
        <f t="shared" si="4"/>
        <v>0</v>
      </c>
      <c r="E28" s="452">
        <f t="shared" si="5"/>
        <v>0</v>
      </c>
      <c r="F28" s="452">
        <f t="shared" si="6"/>
        <v>0</v>
      </c>
      <c r="G28" s="452">
        <f t="shared" si="7"/>
        <v>610.10071832139556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610.10071832139556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238.49659146377439</v>
      </c>
      <c r="C32" s="452">
        <f t="shared" ca="1" si="3"/>
        <v>0</v>
      </c>
      <c r="D32" s="452">
        <f t="shared" si="4"/>
        <v>537.83409000000006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776.33068146377445</v>
      </c>
    </row>
    <row r="33" spans="1:17" s="461" customFormat="1">
      <c r="A33" s="1017" t="s">
        <v>564</v>
      </c>
      <c r="B33" s="957">
        <f ca="1">SUM(B22:B32)</f>
        <v>40497.799532887628</v>
      </c>
      <c r="C33" s="957">
        <f t="shared" ref="C33:Q33" ca="1" si="18">SUM(C22:C32)</f>
        <v>0</v>
      </c>
      <c r="D33" s="957">
        <f t="shared" ca="1" si="18"/>
        <v>80906.263096213952</v>
      </c>
      <c r="E33" s="957">
        <f t="shared" si="18"/>
        <v>10143.27377613319</v>
      </c>
      <c r="F33" s="957">
        <f t="shared" ca="1" si="18"/>
        <v>51563.570061317427</v>
      </c>
      <c r="G33" s="957">
        <f t="shared" si="18"/>
        <v>31835.249277950756</v>
      </c>
      <c r="H33" s="957">
        <f t="shared" si="18"/>
        <v>6413.4928840413277</v>
      </c>
      <c r="I33" s="957">
        <f t="shared" si="18"/>
        <v>0</v>
      </c>
      <c r="J33" s="957">
        <f t="shared" si="18"/>
        <v>445.94907475125405</v>
      </c>
      <c r="K33" s="957">
        <f t="shared" si="18"/>
        <v>0</v>
      </c>
      <c r="L33" s="957">
        <f t="shared" ca="1" si="18"/>
        <v>0</v>
      </c>
      <c r="M33" s="957">
        <f t="shared" si="18"/>
        <v>0</v>
      </c>
      <c r="N33" s="957">
        <f t="shared" ca="1" si="18"/>
        <v>0</v>
      </c>
      <c r="O33" s="957">
        <f t="shared" si="18"/>
        <v>0</v>
      </c>
      <c r="P33" s="957">
        <f t="shared" si="18"/>
        <v>0</v>
      </c>
      <c r="Q33" s="957">
        <f t="shared" ca="1" si="18"/>
        <v>221805.59770329553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45550.45632717471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24080.032363466293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18117</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21314.117647058822</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87747.48869064101</v>
      </c>
      <c r="C10" s="1038">
        <f>SUM(C4:C9)</f>
        <v>0</v>
      </c>
      <c r="D10" s="1038">
        <f t="shared" ref="D10:H10" si="0">SUM(D8:D9)</f>
        <v>0</v>
      </c>
      <c r="E10" s="1038">
        <f t="shared" si="0"/>
        <v>0</v>
      </c>
      <c r="F10" s="1038">
        <f t="shared" si="0"/>
        <v>0</v>
      </c>
      <c r="G10" s="1038">
        <f t="shared" si="0"/>
        <v>0</v>
      </c>
      <c r="H10" s="1038">
        <f t="shared" si="0"/>
        <v>0</v>
      </c>
      <c r="I10" s="1038">
        <f>SUM(I8:I9)</f>
        <v>0</v>
      </c>
      <c r="J10" s="1038">
        <f>SUM(J8:J9)</f>
        <v>21314.117647058822</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0.14944088351450782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25881.428571428572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30448.739495798323</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25881.428571428572</v>
      </c>
      <c r="C20" s="1038">
        <f>SUM(C17:C19)</f>
        <v>0</v>
      </c>
      <c r="D20" s="1038">
        <f t="shared" ref="D20:H20" si="2">SUM(D17:D19)</f>
        <v>0</v>
      </c>
      <c r="E20" s="1038">
        <f t="shared" si="2"/>
        <v>0</v>
      </c>
      <c r="F20" s="1038">
        <f t="shared" si="2"/>
        <v>0</v>
      </c>
      <c r="G20" s="1038">
        <f t="shared" si="2"/>
        <v>0</v>
      </c>
      <c r="H20" s="1038">
        <f t="shared" si="2"/>
        <v>0</v>
      </c>
      <c r="I20" s="1038">
        <f>SUM(I17:I19)</f>
        <v>0</v>
      </c>
      <c r="J20" s="1038">
        <f>SUM(J17:J19)</f>
        <v>30448.739495798323</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0.14944088351450782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2020-06-20T16:12:05Z</dcterms:modified>
</cp:coreProperties>
</file>