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F88" i="14" s="1"/>
  <c r="F18" i="59" s="1"/>
  <c r="D18" i="18"/>
  <c r="D20" i="18" s="1"/>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D6" i="17" s="1"/>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E9" i="18" s="1"/>
  <c r="R40" i="18"/>
  <c r="Q40" i="18"/>
  <c r="P40" i="18"/>
  <c r="C9" i="18" s="1"/>
  <c r="O40" i="18"/>
  <c r="N40" i="18"/>
  <c r="B9" i="18" s="1"/>
  <c r="M40" i="18"/>
  <c r="W36" i="18"/>
  <c r="V36" i="18"/>
  <c r="U36" i="18"/>
  <c r="T36" i="18"/>
  <c r="S36" i="18"/>
  <c r="F6" i="17" s="1"/>
  <c r="R36" i="18"/>
  <c r="Q36" i="18"/>
  <c r="P36" i="18"/>
  <c r="O36" i="18"/>
  <c r="N36" i="18"/>
  <c r="M36" i="18"/>
  <c r="W35" i="18"/>
  <c r="V35" i="18"/>
  <c r="U35" i="18"/>
  <c r="T35" i="18"/>
  <c r="S35" i="18"/>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17" i="18" s="1"/>
  <c r="N33" i="18"/>
  <c r="B8" i="18" s="1"/>
  <c r="M33" i="18"/>
  <c r="G22" i="18"/>
  <c r="F22" i="18"/>
  <c r="E22" i="18"/>
  <c r="D22" i="18"/>
  <c r="C22"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L6" i="17" l="1"/>
  <c r="E88" i="14"/>
  <c r="E18" i="59" s="1"/>
  <c r="I9" i="18"/>
  <c r="F13" i="15"/>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3" i="18" l="1"/>
  <c r="H17" i="18" s="1"/>
  <c r="D53" i="18"/>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J17" i="18"/>
  <c r="J87" i="14" s="1"/>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16" i="14" s="1"/>
  <c r="P27" i="14" s="1"/>
  <c r="P33" i="48"/>
  <c r="P46" i="14"/>
  <c r="P61" i="14" s="1"/>
  <c r="P63" i="14" s="1"/>
  <c r="F24" i="14"/>
  <c r="F26" i="14" s="1"/>
  <c r="E7" i="48"/>
  <c r="E25" i="48" s="1"/>
  <c r="Q63" i="14"/>
  <c r="O15" i="48"/>
  <c r="O23" i="48"/>
  <c r="O33" i="48" s="1"/>
  <c r="E12" i="13"/>
  <c r="F41" i="14" s="1"/>
  <c r="E4" i="48"/>
  <c r="F11" i="14"/>
  <c r="J4" i="48"/>
  <c r="K11" i="14"/>
  <c r="N4" i="48"/>
  <c r="N22" i="48" s="1"/>
  <c r="O11" i="14"/>
  <c r="R18" i="14"/>
  <c r="H19" i="14"/>
  <c r="G10" i="48"/>
  <c r="M10" i="48"/>
  <c r="M28" i="48" s="1"/>
  <c r="N19" i="14"/>
  <c r="G31" i="48"/>
  <c r="Q13" i="48"/>
  <c r="E27" i="48"/>
  <c r="G9" i="48"/>
  <c r="H20" i="14"/>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J22" i="16" l="1"/>
  <c r="K43" i="14" s="1"/>
  <c r="K46" i="14" s="1"/>
  <c r="K61" i="14" s="1"/>
  <c r="J8" i="48"/>
  <c r="J26" i="48" s="1"/>
  <c r="K13" i="14"/>
  <c r="K16" i="14" s="1"/>
  <c r="K27" i="14" s="1"/>
  <c r="E8" i="48"/>
  <c r="E26" i="48" s="1"/>
  <c r="F13" i="14"/>
  <c r="F16" i="14" s="1"/>
  <c r="F27" i="14" s="1"/>
  <c r="E22" i="16"/>
  <c r="F43" i="14" s="1"/>
  <c r="F46" i="14" s="1"/>
  <c r="F61" i="14" s="1"/>
  <c r="J15" i="48"/>
  <c r="E23" i="48"/>
  <c r="E33" i="48" s="1"/>
  <c r="J33" i="48"/>
  <c r="G33" i="48"/>
  <c r="I22" i="14"/>
  <c r="I27" i="14" s="1"/>
  <c r="I63" i="14" s="1"/>
  <c r="R20" i="14"/>
  <c r="R22" i="14" s="1"/>
  <c r="H27" i="48"/>
  <c r="H33" i="48" s="1"/>
  <c r="H15" i="48"/>
  <c r="O13" i="14"/>
  <c r="N8" i="48"/>
  <c r="N26" i="48" s="1"/>
  <c r="F8" i="48"/>
  <c r="G13" i="14"/>
  <c r="F63" i="14" l="1"/>
  <c r="E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<sst xmlns="http://schemas.openxmlformats.org/spreadsheetml/2006/main" count="2479" uniqueCount="934">
  <si>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</si>
  <si>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</si>
  <si>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</si>
  <si>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</si>
  <si>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</si>
  <si>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</si>
  <si>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</si>
  <si>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</si>
  <si>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</si>
  <si>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</si>
  <si>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</si>
  <si>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</si>
  <si>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</si>
  <si>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</si>
  <si>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</si>
  <si>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</si>
  <si>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</si>
  <si>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</si>
  <si>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</si>
  <si>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</si>
  <si>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</si>
  <si>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</si>
  <si>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</si>
  <si>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</si>
  <si>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</si>
  <si>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</si>
  <si>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</si>
  <si>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</si>
  <si>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</si>
  <si>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</si>
  <si>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</si>
  <si>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</si>
  <si>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</si>
  <si>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</si>
  <si>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</si>
  <si>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</si>
  <si>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</si>
  <si>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</si>
  <si>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</si>
  <si>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</si>
  <si>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</si>
  <si>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</si>
  <si>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</si>
  <si>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</si>
  <si>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</si>
  <si>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</si>
  <si>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</si>
  <si>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</si>
  <si>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</si>
  <si>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</si>
  <si>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</si>
  <si>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</si>
  <si>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</si>
  <si>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</si>
  <si>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</si>
  <si>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</si>
  <si>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</si>
  <si>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</si>
  <si>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</si>
  <si>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</si>
  <si>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</si>
  <si>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</si>
  <si>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</si>
  <si>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</si>
  <si>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</si>
  <si>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</si>
  <si>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</si>
  <si>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</si>
  <si>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</si>
  <si>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</si>
  <si>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</si>
  <si>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</si>
  <si>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</si>
  <si>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</si>
  <si>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</si>
  <si>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</si>
  <si>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</si>
  <si>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</si>
  <si>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</si>
  <si>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</si>
  <si>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</si>
  <si>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</si>
  <si>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</si>
  <si>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</si>
  <si>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</si>
  <si>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</si>
  <si>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</si>
  <si>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</si>
  <si>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</si>
  <si>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</si>
  <si>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</si>
  <si>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</si>
  <si>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</si>
  <si>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</si>
  <si>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</si>
  <si>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</si>
  <si>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</si>
  <si>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</si>
  <si>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</si>
  <si>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</si>
  <si>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</si>
  <si>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</si>
  <si>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</si>
  <si>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</si>
  <si>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</si>
  <si>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</si>
  <si>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</si>
  <si>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</si>
  <si>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</si>
  <si>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</si>
  <si>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</si>
  <si>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</si>
  <si>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</si>
  <si>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</si>
  <si>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</si>
  <si>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</si>
  <si>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</si>
  <si>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</si>
  <si>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</si>
  <si>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</si>
  <si>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</si>
  <si>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</si>
  <si>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</si>
  <si>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</si>
  <si>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</si>
  <si>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</si>
  <si>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</si>
  <si>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</si>
  <si>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</si>
  <si>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</si>
  <si>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</si>
  <si>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</si>
  <si>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</si>
  <si>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</si>
  <si>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</si>
  <si>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</si>
  <si>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</si>
  <si>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</si>
  <si>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</si>
  <si>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</si>
  <si>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</si>
  <si>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</si>
  <si>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</si>
  <si>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</si>
  <si>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</si>
  <si>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</si>
  <si>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</si>
  <si>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</si>
  <si>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</si>
  <si>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</si>
  <si>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</si>
  <si>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</si>
  <si>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</si>
  <si>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</si>
  <si>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</si>
  <si>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</si>
  <si>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</si>
  <si>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</si>
  <si>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</si>
  <si>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</si>
  <si>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</si>
  <si>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</si>
  <si>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</si>
  <si>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</si>
  <si>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</si>
  <si>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</si>
  <si>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</si>
  <si>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</si>
  <si>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</si>
  <si>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</si>
  <si>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</si>
  <si>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</si>
  <si>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</si>
  <si>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</si>
  <si>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</si>
  <si>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</si>
  <si>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</si>
  <si>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</si>
  <si>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</si>
  <si>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</si>
  <si>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</si>
  <si>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</si>
  <si>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</si>
  <si>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</si>
  <si>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</si>
  <si>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</si>
  <si>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</si>
  <si>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</si>
  <si>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</si>
  <si>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</si>
  <si>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</si>
  <si>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</si>
  <si>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</si>
  <si>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</si>
  <si>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</si>
  <si>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</si>
  <si>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</si>
  <si>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</si>
  <si>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</si>
  <si>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</si>
  <si>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</si>
  <si>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</si>
  <si>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</si>
  <si>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</si>
  <si>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</si>
  <si>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</si>
  <si>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</si>
  <si>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</si>
  <si>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</si>
  <si>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</si>
  <si>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</si>
  <si>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</si>
  <si>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</si>
  <si>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</si>
  <si>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</si>
  <si>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</si>
  <si>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</si>
  <si>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</si>
  <si>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</si>
  <si>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</si>
  <si>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</si>
  <si>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</si>
  <si>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</si>
  <si>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</si>
  <si>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</si>
  <si>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</si>
  <si>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</si>
  <si>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</si>
  <si>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</si>
  <si>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</si>
  <si>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</si>
  <si>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</si>
  <si>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</si>
  <si>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</si>
  <si>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</si>
  <si>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</si>
  <si>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</si>
  <si>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</si>
  <si>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</si>
  <si>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</si>
  <si>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</si>
  <si>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</si>
  <si>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</si>
  <si>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</si>
  <si>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</si>
  <si>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</si>
  <si>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</si>
  <si>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</si>
  <si>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</si>
  <si>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</si>
  <si>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</si>
  <si>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</si>
  <si>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</si>
  <si>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</si>
  <si>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</si>
  <si>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</si>
  <si>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</si>
  <si>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</si>
  <si>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</si>
  <si>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</si>
  <si>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</si>
  <si>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</si>
  <si>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</si>
  <si>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</si>
  <si>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</si>
  <si>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</si>
  <si>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</si>
  <si>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</si>
  <si>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</si>
  <si>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</si>
  <si>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</si>
  <si>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</si>
  <si>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</si>
  <si>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</si>
  <si>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</si>
  <si>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</si>
  <si>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</si>
  <si>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</si>
  <si>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</si>
  <si>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</si>
  <si>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</si>
  <si>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</si>
  <si>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</si>
  <si>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</si>
  <si>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</si>
  <si>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</si>
  <si>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</si>
  <si>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</si>
  <si>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</si>
  <si>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</si>
  <si>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</si>
  <si>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</si>
  <si>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</si>
  <si>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</si>
  <si>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</si>
  <si>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</si>
  <si>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</si>
  <si>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</si>
  <si>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</si>
  <si>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</si>
  <si>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</si>
  <si>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</si>
  <si>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</si>
  <si>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</si>
  <si>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</si>
  <si>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</si>
  <si>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</si>
  <si>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</si>
  <si>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</si>
  <si>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</si>
  <si>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</si>
  <si>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</si>
  <si>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</si>
  <si>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</si>
  <si>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</si>
  <si>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</si>
  <si>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</si>
  <si>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</si>
  <si>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</si>
  <si>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</si>
  <si>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</si>
  <si>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</si>
  <si>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</si>
  <si>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</si>
  <si>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</si>
  <si>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</si>
  <si>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</si>
  <si>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</si>
  <si>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</si>
  <si>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</si>
  <si>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</si>
  <si>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</si>
  <si>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</si>
  <si>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</si>
  <si>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</si>
  <si>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</si>
  <si>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</si>
  <si>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</si>
  <si>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</si>
  <si>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</si>
  <si>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</si>
  <si>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</si>
  <si>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</si>
  <si>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</si>
  <si>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</si>
  <si>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</si>
  <si>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</si>
  <si>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</si>
  <si>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</si>
  <si>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</si>
  <si>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</si>
  <si>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</si>
  <si>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</si>
  <si>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</si>
  <si>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</si>
  <si>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</si>
  <si>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</si>
  <si>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</si>
  <si>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</si>
  <si>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</si>
  <si>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</si>
  <si>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</si>
  <si>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</si>
  <si>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</si>
  <si>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</si>
  <si>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</si>
  <si>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</si>
  <si>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</si>
  <si>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</si>
  <si>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</si>
  <si>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</si>
  <si>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</si>
  <si>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</si>
  <si>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</si>
  <si>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</si>
  <si>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</si>
  <si>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</si>
  <si>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</si>
  <si>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</si>
  <si>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</si>
  <si>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</si>
  <si>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</si>
  <si>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</si>
  <si>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</si>
  <si>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</si>
  <si>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</si>
  <si>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</si>
  <si>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</si>
  <si>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</si>
  <si>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</si>
  <si>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</si>
  <si>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</si>
  <si>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</si>
  <si>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</si>
  <si>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</si>
  <si>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</si>
  <si>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</si>
  <si>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</si>
  <si>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</si>
  <si>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</si>
  <si>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</si>
  <si>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</si>
  <si>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</si>
  <si>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</si>
  <si>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</si>
  <si>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</si>
  <si>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</si>
  <si>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</si>
  <si>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</si>
  <si>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</si>
  <si>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</si>
  <si>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</si>
  <si>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</si>
  <si>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</si>
  <si>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</si>
  <si>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</si>
  <si>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</si>
  <si>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</si>
  <si>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</si>
  <si>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</si>
  <si>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</si>
  <si>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</si>
  <si>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</si>
  <si>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</si>
  <si>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</si>
  <si>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</si>
  <si>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</si>
  <si>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</si>
  <si>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</si>
  <si>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</si>
  <si>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</si>
  <si>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</si>
  <si>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</si>
  <si>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</si>
  <si>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</si>
  <si>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</si>
  <si>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</si>
  <si>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</si>
  <si>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</si>
  <si>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</si>
  <si>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</si>
  <si>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</si>
  <si>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</si>
  <si>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</si>
  <si>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</si>
  <si>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</si>
  <si>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</si>
  <si>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</si>
  <si>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</si>
  <si>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</si>
  <si>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</si>
  <si>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</si>
  <si>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</si>
  <si>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</si>
  <si>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</si>
  <si>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</si>
  <si>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</si>
  <si>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</si>
  <si>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</si>
  <si>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</si>
  <si>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</si>
  <si>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</si>
  <si>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</si>
  <si>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</si>
  <si>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</si>
  <si>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</si>
  <si>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</si>
  <si>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</si>
  <si>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</si>
  <si>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</si>
  <si>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</si>
  <si>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</si>
  <si>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</si>
  <si>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</si>
  <si>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</si>
  <si>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</si>
  <si>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</si>
  <si>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</si>
  <si>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</si>
  <si>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</si>
  <si>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</si>
  <si>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</si>
  <si>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</si>
  <si>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</si>
  <si>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</si>
  <si>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</si>
  <si>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</si>
  <si>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</si>
  <si>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</si>
  <si>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</si>
  <si>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</si>
  <si>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</si>
  <si>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</si>
  <si>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</si>
  <si>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</si>
  <si>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</si>
  <si>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</si>
  <si>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</si>
  <si>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</si>
  <si>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</si>
  <si>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</si>
  <si>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</si>
  <si>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</si>
  <si>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</si>
  <si>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</si>
  <si>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</si>
  <si>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</si>
  <si>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</si>
  <si>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</si>
  <si>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</si>
  <si>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</si>
  <si>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</si>
  <si>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</si>
  <si>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</si>
  <si>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</si>
  <si>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</si>
  <si>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</si>
  <si>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</si>
  <si>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</si>
  <si>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</si>
  <si>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</si>
  <si>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</si>
  <si>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</si>
  <si>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</si>
  <si>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</si>
  <si>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</si>
  <si>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</si>
  <si>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</si>
  <si>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</si>
  <si>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</si>
  <si>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</si>
  <si>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</si>
  <si>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</si>
  <si>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</si>
  <si>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</si>
  <si>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</si>
  <si>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</si>
  <si>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</si>
  <si>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</si>
  <si>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</si>
  <si>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</si>
  <si>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</si>
  <si>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</si>
  <si>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</si>
  <si>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</si>
  <si>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</si>
  <si>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</si>
  <si>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</si>
  <si>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</si>
  <si>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</si>
  <si>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</si>
  <si>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</si>
  <si>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</si>
  <si>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</si>
  <si>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</si>
  <si>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</si>
  <si>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</si>
  <si>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</si>
  <si>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</si>
  <si>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</si>
  <si>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</si>
  <si>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</si>
  <si>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</si>
  <si>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</si>
  <si>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</si>
  <si>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</si>
  <si>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</si>
  <si>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</si>
  <si>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</si>
  <si>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</si>
  <si>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</si>
  <si>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</si>
  <si>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</si>
  <si>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</si>
  <si>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</si>
  <si>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</si>
  <si>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</si>
  <si>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</si>
  <si>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</si>
  <si>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</si>
  <si>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</si>
  <si>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</si>
  <si>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</si>
  <si>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</si>
  <si>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</si>
  <si>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</si>
  <si>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</si>
  <si>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</si>
  <si>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</si>
  <si>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</si>
  <si>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</si>
  <si>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</si>
  <si>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</si>
  <si>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</si>
  <si>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</si>
  <si>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</si>
  <si>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</si>
  <si>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</si>
  <si>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</si>
  <si>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</si>
  <si>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</si>
  <si>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</si>
  <si>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</si>
  <si>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</si>
  <si>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</si>
  <si>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</si>
  <si>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</si>
  <si>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</si>
  <si>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</si>
  <si>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</si>
  <si>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</si>
  <si>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</si>
  <si>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</si>
  <si>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</si>
  <si>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</si>
  <si>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</si>
  <si>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</si>
  <si>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</si>
  <si>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</si>
  <si>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</si>
  <si>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</si>
  <si>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</si>
  <si>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</si>
  <si>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</si>
  <si>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</si>
  <si>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</si>
  <si>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</si>
  <si>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</si>
  <si>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</si>
  <si>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</si>
  <si>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</si>
  <si>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</si>
  <si>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</si>
  <si>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</si>
  <si>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</si>
  <si>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</si>
  <si>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</si>
  <si>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</si>
  <si>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</si>
  <si>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</si>
  <si>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</si>
  <si>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</si>
  <si>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</si>
  <si>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</si>
  <si>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</si>
  <si>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</si>
  <si>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</si>
  <si>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</si>
  <si>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</si>
  <si>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</si>
  <si>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</si>
  <si>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</si>
  <si>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</si>
  <si>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</si>
  <si>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</si>
  <si>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</si>
  <si>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</si>
  <si>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</si>
  <si>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</si>
  <si>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</si>
  <si>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</si>
  <si>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</si>
  <si>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</si>
  <si>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</si>
  <si>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</si>
  <si>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</si>
  <si>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</si>
  <si>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</si>
  <si>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</si>
  <si>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</si>
  <si>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</si>
  <si>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</si>
  <si>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</si>
  <si>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</si>
  <si>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</si>
  <si>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</si>
  <si>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</si>
  <si>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</si>
  <si>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</si>
  <si>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</si>
  <si>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</si>
  <si>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</si>
  <si>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</si>
  <si>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</si>
  <si>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</si>
  <si>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</si>
  <si>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</si>
  <si>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</si>
  <si>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</si>
  <si>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</si>
  <si>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</si>
  <si>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</si>
  <si>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</si>
  <si>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</si>
  <si>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</si>
  <si>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</si>
  <si>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</si>
  <si>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</si>
  <si>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</si>
  <si>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</si>
  <si>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</si>
  <si>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</si>
  <si>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</si>
  <si>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</si>
  <si>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</si>
  <si>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</si>
  <si>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</si>
  <si>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</si>
  <si>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</si>
  <si>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</si>
  <si>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</si>
  <si>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</si>
  <si>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</si>
  <si>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</si>
  <si>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</si>
  <si>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</si>
  <si>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</si>
  <si>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</si>
  <si>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</si>
  <si>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</si>
  <si>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</si>
  <si>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</si>
  <si>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</si>
  <si>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</si>
  <si>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</si>
  <si>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</si>
  <si>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</si>
  <si>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</si>
  <si>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</si>
  <si>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</si>
  <si>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</si>
  <si>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</si>
  <si>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</si>
  <si>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</si>
  <si>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</si>
  <si>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</si>
  <si>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</si>
  <si>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</si>
  <si>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</si>
  <si>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</si>
  <si>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</si>
  <si>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</si>
  <si>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</si>
  <si>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</si>
  <si>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</si>
  <si>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</si>
  <si>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</si>
  <si>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</si>
  <si>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</si>
  <si>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</si>
  <si>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</si>
  <si>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</si>
  <si>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</si>
  <si>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</si>
  <si>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</si>
  <si>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</si>
  <si>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</si>
  <si>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</si>
  <si>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</si>
  <si>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</si>
  <si>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</si>
  <si>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</si>
  <si>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</si>
  <si>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</si>
  <si>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</si>
  <si>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</si>
  <si>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</si>
  <si>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</si>
  <si>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</si>
  <si>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</si>
  <si>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</si>
  <si>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</si>
  <si>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</si>
  <si>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</si>
  <si>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</si>
  <si>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</si>
  <si>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</si>
  <si>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</si>
  <si>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</si>
  <si>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</si>
  <si>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</si>
  <si>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</si>
  <si>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</si>
  <si>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</si>
  <si>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</si>
  <si>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</si>
  <si>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</si>
  <si>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</si>
  <si>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</si>
  <si>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</si>
  <si>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</si>
  <si>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</si>
  <si>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</si>
  <si>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</si>
  <si>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</si>
  <si>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</si>
  <si>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</si>
  <si>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</si>
  <si>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</si>
  <si>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</si>
  <si>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</si>
  <si>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</si>
  <si>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</si>
  <si>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</si>
  <si>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</si>
  <si>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</si>
  <si>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</si>
  <si>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</si>
  <si>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</si>
  <si>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</si>
  <si>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</si>
  <si>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</si>
  <si>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</si>
  <si>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</si>
  <si>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</si>
  <si>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</si>
  <si>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</si>
  <si>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</si>
  <si>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</si>
  <si>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</si>
  <si>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</si>
  <si>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</si>
  <si>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</si>
  <si>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</si>
  <si>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</si>
  <si>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</si>
  <si>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</si>
  <si>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</si>
  <si>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</si>
  <si>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</si>
  <si>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</si>
  <si>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</si>
  <si>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</si>
  <si>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</si>
  <si>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</si>
  <si>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</si>
  <si>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</si>
  <si>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</si>
  <si>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</si>
  <si>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</si>
  <si>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</si>
  <si>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</si>
  <si>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</si>
  <si>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</si>
  <si>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</si>
  <si>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</si>
  <si>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</si>
  <si>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</si>
  <si>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</si>
  <si>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</si>
  <si>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</si>
  <si>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</si>
  <si>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</si>
  <si>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</si>
  <si>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</si>
  <si>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</si>
  <si>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</si>
  <si>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</si>
  <si>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</si>
  <si>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</si>
  <si>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</si>
  <si>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</si>
  <si>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</si>
  <si>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</si>
  <si>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</si>
  <si>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</si>
  <si>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</si>
  <si>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</si>
  <si>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</si>
  <si>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</si>
  <si>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</si>
  <si>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</si>
  <si>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</si>
  <si>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</si>
  <si>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</si>
  <si>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</si>
  <si>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</si>
  <si>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</si>
  <si>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</si>
  <si>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</si>
  <si>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</si>
  <si>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</si>
  <si>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</si>
  <si>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</si>
  <si>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</si>
  <si>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</si>
  <si>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</si>
  <si>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</si>
  <si>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</si>
  <si>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</si>
  <si>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</si>
  <si>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</si>
  <si>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</si>
  <si>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</si>
  <si>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</si>
  <si>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</si>
  <si>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</si>
  <si>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</si>
  <si>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</si>
  <si>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</si>
  <si>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</si>
  <si>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</si>
  <si>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</si>
  <si>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</si>
  <si>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</si>
  <si>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</si>
  <si>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</si>
  <si>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72004</t>
  </si>
  <si>
    <t>BREE</t>
  </si>
  <si>
    <t>Paarden&amp;pony's 200 - 600 kg</t>
  </si>
  <si>
    <t>Paarden&amp;pony's &lt; 200 kg</t>
  </si>
  <si>
    <t>Fluvius</t>
  </si>
  <si>
    <t>referentietaak LNE (2017); Jaarverslag De Lijn</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</si>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</sst>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135910.09685154096</c:v>
                </c:pt>
                <c:pt idx="1">
                  <c:v>51888.370502515609</c:v>
                </c:pt>
                <c:pt idx="2">
                  <c:v>1173.1420000000001</c:v>
                </c:pt>
                <c:pt idx="3">
                  <c:v>41439.290724807222</c:v>
                </c:pt>
                <c:pt idx="4">
                  <c:v>235112.43981421157</c:v>
                </c:pt>
                <c:pt idx="5">
                  <c:v>98169.935120771814</c:v>
                </c:pt>
                <c:pt idx="6">
                  <c:v>2241.5957738364768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135910.09685154096</c:v>
                </c:pt>
                <c:pt idx="1">
                  <c:v>51888.370502515609</c:v>
                </c:pt>
                <c:pt idx="2">
                  <c:v>1173.1420000000001</c:v>
                </c:pt>
                <c:pt idx="3">
                  <c:v>41439.290724807222</c:v>
                </c:pt>
                <c:pt idx="4">
                  <c:v>235112.43981421157</c:v>
                </c:pt>
                <c:pt idx="5">
                  <c:v>98169.935120771814</c:v>
                </c:pt>
                <c:pt idx="6">
                  <c:v>2241.5957738364768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27207.732081362723</c:v>
                </c:pt>
                <c:pt idx="2">
                  <c:v>9350.5443584976128</c:v>
                </c:pt>
                <c:pt idx="3">
                  <c:v>207.99031689872999</c:v>
                </c:pt>
                <c:pt idx="4">
                  <c:v>6183.6244230445718</c:v>
                </c:pt>
                <c:pt idx="5">
                  <c:v>47366.182412029746</c:v>
                </c:pt>
                <c:pt idx="6">
                  <c:v>24600.608753527711</c:v>
                </c:pt>
                <c:pt idx="7">
                  <c:v>566.14684134846846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27207.732081362723</c:v>
                </c:pt>
                <c:pt idx="2">
                  <c:v>9350.5443584976128</c:v>
                </c:pt>
                <c:pt idx="3">
                  <c:v>207.99031689872999</c:v>
                </c:pt>
                <c:pt idx="4">
                  <c:v>6183.6244230445718</c:v>
                </c:pt>
                <c:pt idx="5">
                  <c:v>47366.182412029746</c:v>
                </c:pt>
                <c:pt idx="6">
                  <c:v>24600.608753527711</c:v>
                </c:pt>
                <c:pt idx="7">
                  <c:v>566.14684134846846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72004</v>
      </c>
      <c r="B6" s="391"/>
      <c r="C6" s="392"/>
    </row>
    <row r="7" spans="1:7" s="389" customFormat="1" ht="15.75" customHeight="1">
      <c r="A7" s="393" t="str">
        <f>txtMunicipality</f>
        <v>BREE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28839.655999999999</v>
      </c>
      <c r="D10" s="991">
        <f ca="1">tertiair!C16</f>
        <v>32.142857142857146</v>
      </c>
      <c r="E10" s="991">
        <f ca="1">tertiair!D16</f>
        <v>16263.630791714286</v>
      </c>
      <c r="F10" s="991">
        <f>tertiair!E16</f>
        <v>238.13691782107597</v>
      </c>
      <c r="G10" s="991">
        <f ca="1">tertiair!F16</f>
        <v>4142.8019477347625</v>
      </c>
      <c r="H10" s="991">
        <f>tertiair!G16</f>
        <v>0</v>
      </c>
      <c r="I10" s="991">
        <f>tertiair!H16</f>
        <v>0</v>
      </c>
      <c r="J10" s="991">
        <f>tertiair!I16</f>
        <v>0</v>
      </c>
      <c r="K10" s="991">
        <f>tertiair!J16</f>
        <v>0</v>
      </c>
      <c r="L10" s="991">
        <f>tertiair!K16</f>
        <v>0</v>
      </c>
      <c r="M10" s="991">
        <f ca="1">tertiair!L16</f>
        <v>0</v>
      </c>
      <c r="N10" s="991">
        <f>tertiair!M16</f>
        <v>0</v>
      </c>
      <c r="O10" s="991">
        <f ca="1">tertiair!N16</f>
        <v>3464.1873214359575</v>
      </c>
      <c r="P10" s="991">
        <f>tertiair!O16</f>
        <v>4.6900000000000004</v>
      </c>
      <c r="Q10" s="992">
        <f>tertiair!P16</f>
        <v>76.266666666666666</v>
      </c>
      <c r="R10" s="675">
        <f ca="1">SUM(C10:Q10)</f>
        <v>53061.512502515609</v>
      </c>
      <c r="S10" s="67"/>
    </row>
    <row r="11" spans="1:19" s="448" customFormat="1">
      <c r="A11" s="784" t="s">
        <v>224</v>
      </c>
      <c r="B11" s="789"/>
      <c r="C11" s="991">
        <f>huishoudens!B8</f>
        <v>27782.652101689713</v>
      </c>
      <c r="D11" s="991">
        <f>huishoudens!C8</f>
        <v>0</v>
      </c>
      <c r="E11" s="991">
        <f>huishoudens!D8</f>
        <v>40172.910690000004</v>
      </c>
      <c r="F11" s="991">
        <f>huishoudens!E8</f>
        <v>15408.876499934995</v>
      </c>
      <c r="G11" s="991">
        <f>huishoudens!F8</f>
        <v>39959.957700821178</v>
      </c>
      <c r="H11" s="991">
        <f>huishoudens!G8</f>
        <v>0</v>
      </c>
      <c r="I11" s="991">
        <f>huishoudens!H8</f>
        <v>0</v>
      </c>
      <c r="J11" s="991">
        <f>huishoudens!I8</f>
        <v>0</v>
      </c>
      <c r="K11" s="991">
        <f>huishoudens!J8</f>
        <v>0</v>
      </c>
      <c r="L11" s="991">
        <f>huishoudens!K8</f>
        <v>0</v>
      </c>
      <c r="M11" s="991">
        <f>huishoudens!L8</f>
        <v>0</v>
      </c>
      <c r="N11" s="991">
        <f>huishoudens!M8</f>
        <v>0</v>
      </c>
      <c r="O11" s="991">
        <f>huishoudens!N8</f>
        <v>11667.283192428373</v>
      </c>
      <c r="P11" s="991">
        <f>huishoudens!O8</f>
        <v>289.2166666666667</v>
      </c>
      <c r="Q11" s="992">
        <f>huishoudens!P8</f>
        <v>629.20000000000005</v>
      </c>
      <c r="R11" s="675">
        <f>SUM(C11:Q11)</f>
        <v>135910.09685154096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42200.01400000001</v>
      </c>
      <c r="D13" s="991">
        <f>industrie!C18</f>
        <v>0</v>
      </c>
      <c r="E13" s="991">
        <f>industrie!D18</f>
        <v>116893.97200800001</v>
      </c>
      <c r="F13" s="991">
        <f>industrie!E18</f>
        <v>2021.0125940080702</v>
      </c>
      <c r="G13" s="991">
        <f>industrie!F18</f>
        <v>58362.593846165561</v>
      </c>
      <c r="H13" s="991">
        <f>industrie!G18</f>
        <v>0</v>
      </c>
      <c r="I13" s="991">
        <f>industrie!H18</f>
        <v>0</v>
      </c>
      <c r="J13" s="991">
        <f>industrie!I18</f>
        <v>0</v>
      </c>
      <c r="K13" s="991">
        <f>industrie!J18</f>
        <v>650.37937505089792</v>
      </c>
      <c r="L13" s="991">
        <f>industrie!K18</f>
        <v>0</v>
      </c>
      <c r="M13" s="991">
        <f>industrie!L18</f>
        <v>0</v>
      </c>
      <c r="N13" s="991">
        <f>industrie!M18</f>
        <v>0</v>
      </c>
      <c r="O13" s="991">
        <f>industrie!N18</f>
        <v>14984.46799098699</v>
      </c>
      <c r="P13" s="991">
        <f>industrie!O18</f>
        <v>0</v>
      </c>
      <c r="Q13" s="992">
        <f>industrie!P18</f>
        <v>0</v>
      </c>
      <c r="R13" s="675">
        <f>SUM(C13:Q13)</f>
        <v>235112.43981421157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98822.32210168973</v>
      </c>
      <c r="D16" s="707">
        <f t="shared" ref="D16:R16" ca="1" si="0">SUM(D9:D15)</f>
        <v>32.142857142857146</v>
      </c>
      <c r="E16" s="707">
        <f t="shared" ca="1" si="0"/>
        <v>173330.5134897143</v>
      </c>
      <c r="F16" s="707">
        <f t="shared" si="0"/>
        <v>17668.026011764141</v>
      </c>
      <c r="G16" s="707">
        <f t="shared" ca="1" si="0"/>
        <v>102465.35349472149</v>
      </c>
      <c r="H16" s="707">
        <f t="shared" si="0"/>
        <v>0</v>
      </c>
      <c r="I16" s="707">
        <f t="shared" si="0"/>
        <v>0</v>
      </c>
      <c r="J16" s="707">
        <f t="shared" si="0"/>
        <v>0</v>
      </c>
      <c r="K16" s="707">
        <f t="shared" si="0"/>
        <v>650.37937505089792</v>
      </c>
      <c r="L16" s="707">
        <f t="shared" si="0"/>
        <v>0</v>
      </c>
      <c r="M16" s="707">
        <f t="shared" ca="1" si="0"/>
        <v>0</v>
      </c>
      <c r="N16" s="707">
        <f t="shared" si="0"/>
        <v>0</v>
      </c>
      <c r="O16" s="707">
        <f t="shared" ca="1" si="0"/>
        <v>30115.938504851321</v>
      </c>
      <c r="P16" s="707">
        <f t="shared" si="0"/>
        <v>293.90666666666669</v>
      </c>
      <c r="Q16" s="707">
        <f t="shared" si="0"/>
        <v>705.4666666666667</v>
      </c>
      <c r="R16" s="707">
        <f t="shared" ca="1" si="0"/>
        <v>424084.0491682681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2120.4001548631777</v>
      </c>
      <c r="I19" s="991">
        <f>transport!H54</f>
        <v>0</v>
      </c>
      <c r="J19" s="991">
        <f>transport!I54</f>
        <v>0</v>
      </c>
      <c r="K19" s="991">
        <f>transport!J54</f>
        <v>0</v>
      </c>
      <c r="L19" s="991">
        <f>transport!K54</f>
        <v>0</v>
      </c>
      <c r="M19" s="991">
        <f>transport!L54</f>
        <v>0</v>
      </c>
      <c r="N19" s="991">
        <f>transport!M54</f>
        <v>121.19561897329936</v>
      </c>
      <c r="O19" s="991">
        <f>transport!N54</f>
        <v>0</v>
      </c>
      <c r="P19" s="991">
        <f>transport!O54</f>
        <v>0</v>
      </c>
      <c r="Q19" s="992">
        <f>transport!P54</f>
        <v>0</v>
      </c>
      <c r="R19" s="675">
        <f>SUM(C19:Q19)</f>
        <v>2241.5957738364768</v>
      </c>
      <c r="S19" s="67"/>
    </row>
    <row r="20" spans="1:19" s="448" customFormat="1">
      <c r="A20" s="784" t="s">
        <v>306</v>
      </c>
      <c r="B20" s="789"/>
      <c r="C20" s="991">
        <f>transport!B14</f>
        <v>12.69752370005097</v>
      </c>
      <c r="D20" s="991">
        <f>transport!C14</f>
        <v>0</v>
      </c>
      <c r="E20" s="991">
        <f>transport!D14</f>
        <v>24.734885081036349</v>
      </c>
      <c r="F20" s="991">
        <f>transport!E14</f>
        <v>236.34980778826204</v>
      </c>
      <c r="G20" s="991">
        <f>transport!F14</f>
        <v>0</v>
      </c>
      <c r="H20" s="991">
        <f>transport!G14</f>
        <v>77904.224532255961</v>
      </c>
      <c r="I20" s="991">
        <f>transport!H14</f>
        <v>15017.195836531368</v>
      </c>
      <c r="J20" s="991">
        <f>transport!I14</f>
        <v>0</v>
      </c>
      <c r="K20" s="991">
        <f>transport!J14</f>
        <v>0</v>
      </c>
      <c r="L20" s="991">
        <f>transport!K14</f>
        <v>0</v>
      </c>
      <c r="M20" s="991">
        <f>transport!L14</f>
        <v>0</v>
      </c>
      <c r="N20" s="991">
        <f>transport!M14</f>
        <v>4974.7325354151444</v>
      </c>
      <c r="O20" s="991">
        <f>transport!N14</f>
        <v>0</v>
      </c>
      <c r="P20" s="991">
        <f>transport!O14</f>
        <v>0</v>
      </c>
      <c r="Q20" s="992">
        <f>transport!P14</f>
        <v>0</v>
      </c>
      <c r="R20" s="675">
        <f>SUM(C20:Q20)</f>
        <v>98169.935120771814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12.69752370005097</v>
      </c>
      <c r="D22" s="787">
        <f t="shared" ref="D22:R22" si="1">SUM(D18:D21)</f>
        <v>0</v>
      </c>
      <c r="E22" s="787">
        <f t="shared" si="1"/>
        <v>24.734885081036349</v>
      </c>
      <c r="F22" s="787">
        <f t="shared" si="1"/>
        <v>236.34980778826204</v>
      </c>
      <c r="G22" s="787">
        <f t="shared" si="1"/>
        <v>0</v>
      </c>
      <c r="H22" s="787">
        <f t="shared" si="1"/>
        <v>80024.62468711914</v>
      </c>
      <c r="I22" s="787">
        <f t="shared" si="1"/>
        <v>15017.195836531368</v>
      </c>
      <c r="J22" s="787">
        <f t="shared" si="1"/>
        <v>0</v>
      </c>
      <c r="K22" s="787">
        <f t="shared" si="1"/>
        <v>0</v>
      </c>
      <c r="L22" s="787">
        <f t="shared" si="1"/>
        <v>0</v>
      </c>
      <c r="M22" s="787">
        <f t="shared" si="1"/>
        <v>0</v>
      </c>
      <c r="N22" s="787">
        <f t="shared" si="1"/>
        <v>5095.9281543884435</v>
      </c>
      <c r="O22" s="787">
        <f t="shared" si="1"/>
        <v>0</v>
      </c>
      <c r="P22" s="787">
        <f t="shared" si="1"/>
        <v>0</v>
      </c>
      <c r="Q22" s="787">
        <f t="shared" si="1"/>
        <v>0</v>
      </c>
      <c r="R22" s="787">
        <f t="shared" si="1"/>
        <v>100411.5308946083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5721.0829999999996</v>
      </c>
      <c r="D24" s="991">
        <f>+landbouw!C8</f>
        <v>15502.660714285716</v>
      </c>
      <c r="E24" s="991">
        <f>+landbouw!D8</f>
        <v>4769.9726360000004</v>
      </c>
      <c r="F24" s="991">
        <f>+landbouw!E8</f>
        <v>52.991066955824614</v>
      </c>
      <c r="G24" s="991">
        <f>+landbouw!F8</f>
        <v>14515.477436193059</v>
      </c>
      <c r="H24" s="991">
        <f>+landbouw!G8</f>
        <v>0</v>
      </c>
      <c r="I24" s="991">
        <f>+landbouw!H8</f>
        <v>0</v>
      </c>
      <c r="J24" s="991">
        <f>+landbouw!I8</f>
        <v>0</v>
      </c>
      <c r="K24" s="991">
        <f>+landbouw!J8</f>
        <v>877.10587137262496</v>
      </c>
      <c r="L24" s="991">
        <f>+landbouw!K8</f>
        <v>0</v>
      </c>
      <c r="M24" s="991">
        <f>+landbouw!L8</f>
        <v>0</v>
      </c>
      <c r="N24" s="991">
        <f>+landbouw!M8</f>
        <v>0</v>
      </c>
      <c r="O24" s="991">
        <f>+landbouw!N8</f>
        <v>0</v>
      </c>
      <c r="P24" s="991">
        <f>+landbouw!O8</f>
        <v>0</v>
      </c>
      <c r="Q24" s="992">
        <f>+landbouw!P8</f>
        <v>0</v>
      </c>
      <c r="R24" s="675">
        <f>SUM(C24:Q24)</f>
        <v>41439.290724807222</v>
      </c>
      <c r="S24" s="67"/>
    </row>
    <row r="25" spans="1:19" s="448" customFormat="1" ht="15" thickBot="1">
      <c r="A25" s="806" t="s">
        <v>849</v>
      </c>
      <c r="B25" s="994"/>
      <c r="C25" s="995">
        <f>IF(Onbekend_ele_kWh="---",0,Onbekend_ele_kWh)/1000+IF(REST_rest_ele_kWh="---",0,REST_rest_ele_kWh)/1000</f>
        <v>672.12699999999995</v>
      </c>
      <c r="D25" s="995"/>
      <c r="E25" s="995">
        <f>IF(onbekend_gas_kWh="---",0,onbekend_gas_kWh)/1000+IF(REST_rest_gas_kWh="---",0,REST_rest_gas_kWh)/1000</f>
        <v>1159.192</v>
      </c>
      <c r="F25" s="995"/>
      <c r="G25" s="995"/>
      <c r="H25" s="995"/>
      <c r="I25" s="995"/>
      <c r="J25" s="995"/>
      <c r="K25" s="995"/>
      <c r="L25" s="995"/>
      <c r="M25" s="995"/>
      <c r="N25" s="995"/>
      <c r="O25" s="995"/>
      <c r="P25" s="995"/>
      <c r="Q25" s="996"/>
      <c r="R25" s="675">
        <f>SUM(C25:Q25)</f>
        <v>1831.319</v>
      </c>
      <c r="S25" s="67"/>
    </row>
    <row r="26" spans="1:19" s="448" customFormat="1" ht="15.75" thickBot="1">
      <c r="A26" s="680" t="s">
        <v>850</v>
      </c>
      <c r="B26" s="792"/>
      <c r="C26" s="787">
        <f>SUM(C24:C25)</f>
        <v>6393.2099999999991</v>
      </c>
      <c r="D26" s="787">
        <f t="shared" ref="D26:R26" si="2">SUM(D24:D25)</f>
        <v>15502.660714285716</v>
      </c>
      <c r="E26" s="787">
        <f t="shared" si="2"/>
        <v>5929.1646360000004</v>
      </c>
      <c r="F26" s="787">
        <f t="shared" si="2"/>
        <v>52.991066955824614</v>
      </c>
      <c r="G26" s="787">
        <f t="shared" si="2"/>
        <v>14515.477436193059</v>
      </c>
      <c r="H26" s="787">
        <f t="shared" si="2"/>
        <v>0</v>
      </c>
      <c r="I26" s="787">
        <f t="shared" si="2"/>
        <v>0</v>
      </c>
      <c r="J26" s="787">
        <f t="shared" si="2"/>
        <v>0</v>
      </c>
      <c r="K26" s="787">
        <f t="shared" si="2"/>
        <v>877.10587137262496</v>
      </c>
      <c r="L26" s="787">
        <f t="shared" si="2"/>
        <v>0</v>
      </c>
      <c r="M26" s="787">
        <f t="shared" si="2"/>
        <v>0</v>
      </c>
      <c r="N26" s="787">
        <f t="shared" si="2"/>
        <v>0</v>
      </c>
      <c r="O26" s="787">
        <f t="shared" si="2"/>
        <v>0</v>
      </c>
      <c r="P26" s="787">
        <f t="shared" si="2"/>
        <v>0</v>
      </c>
      <c r="Q26" s="787">
        <f t="shared" si="2"/>
        <v>0</v>
      </c>
      <c r="R26" s="787">
        <f t="shared" si="2"/>
        <v>43270.609724807226</v>
      </c>
      <c r="S26" s="67"/>
    </row>
    <row r="27" spans="1:19" s="448" customFormat="1" ht="17.25" thickTop="1" thickBot="1">
      <c r="A27" s="681" t="s">
        <v>115</v>
      </c>
      <c r="B27" s="780"/>
      <c r="C27" s="682">
        <f ca="1">C22+C16+C26</f>
        <v>105228.22962538977</v>
      </c>
      <c r="D27" s="682">
        <f t="shared" ref="D27:R27" ca="1" si="3">D22+D16+D26</f>
        <v>15534.803571428572</v>
      </c>
      <c r="E27" s="682">
        <f t="shared" ca="1" si="3"/>
        <v>179284.41301079534</v>
      </c>
      <c r="F27" s="682">
        <f t="shared" si="3"/>
        <v>17957.366886508225</v>
      </c>
      <c r="G27" s="682">
        <f t="shared" ca="1" si="3"/>
        <v>116980.83093091456</v>
      </c>
      <c r="H27" s="682">
        <f t="shared" si="3"/>
        <v>80024.62468711914</v>
      </c>
      <c r="I27" s="682">
        <f t="shared" si="3"/>
        <v>15017.195836531368</v>
      </c>
      <c r="J27" s="682">
        <f t="shared" si="3"/>
        <v>0</v>
      </c>
      <c r="K27" s="682">
        <f t="shared" si="3"/>
        <v>1527.4852464235228</v>
      </c>
      <c r="L27" s="682">
        <f t="shared" si="3"/>
        <v>0</v>
      </c>
      <c r="M27" s="682">
        <f t="shared" ca="1" si="3"/>
        <v>0</v>
      </c>
      <c r="N27" s="682">
        <f t="shared" si="3"/>
        <v>5095.9281543884435</v>
      </c>
      <c r="O27" s="682">
        <f t="shared" ca="1" si="3"/>
        <v>30115.938504851321</v>
      </c>
      <c r="P27" s="682">
        <f t="shared" si="3"/>
        <v>293.90666666666669</v>
      </c>
      <c r="Q27" s="682">
        <f t="shared" si="3"/>
        <v>705.4666666666667</v>
      </c>
      <c r="R27" s="682">
        <f t="shared" ca="1" si="3"/>
        <v>567766.18978768366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5113.0802500382388</v>
      </c>
      <c r="D40" s="991">
        <f ca="1">tertiair!C20</f>
        <v>1.5805041251766225E-2</v>
      </c>
      <c r="E40" s="991">
        <f ca="1">tertiair!D20</f>
        <v>3285.2534199262859</v>
      </c>
      <c r="F40" s="991">
        <f>tertiair!E20</f>
        <v>54.05708034538425</v>
      </c>
      <c r="G40" s="991">
        <f ca="1">tertiair!F20</f>
        <v>1106.1281200451817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9558.5346753963422</v>
      </c>
    </row>
    <row r="41" spans="1:18">
      <c r="A41" s="797" t="s">
        <v>224</v>
      </c>
      <c r="B41" s="804"/>
      <c r="C41" s="991">
        <f ca="1">huishoudens!B12</f>
        <v>4925.6804503782241</v>
      </c>
      <c r="D41" s="991">
        <f ca="1">huishoudens!C12</f>
        <v>0</v>
      </c>
      <c r="E41" s="991">
        <f>huishoudens!D12</f>
        <v>8114.9279593800011</v>
      </c>
      <c r="F41" s="991">
        <f>huishoudens!E12</f>
        <v>3497.8149654852441</v>
      </c>
      <c r="G41" s="991">
        <f>huishoudens!F12</f>
        <v>10669.308706119255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27207.732081362723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7481.7833518796906</v>
      </c>
      <c r="D43" s="991">
        <f ca="1">industrie!C22</f>
        <v>0</v>
      </c>
      <c r="E43" s="991">
        <f>industrie!D22</f>
        <v>23612.582345616003</v>
      </c>
      <c r="F43" s="991">
        <f>industrie!E22</f>
        <v>458.76985883983195</v>
      </c>
      <c r="G43" s="991">
        <f>industrie!F22</f>
        <v>15582.812556926205</v>
      </c>
      <c r="H43" s="991">
        <f>industrie!G22</f>
        <v>0</v>
      </c>
      <c r="I43" s="991">
        <f>industrie!H22</f>
        <v>0</v>
      </c>
      <c r="J43" s="991">
        <f>industrie!I22</f>
        <v>0</v>
      </c>
      <c r="K43" s="991">
        <f>industrie!J22</f>
        <v>230.23429876801785</v>
      </c>
      <c r="L43" s="991">
        <f>industrie!K22</f>
        <v>0</v>
      </c>
      <c r="M43" s="991">
        <f>industrie!L22</f>
        <v>0</v>
      </c>
      <c r="N43" s="991">
        <f>industrie!M22</f>
        <v>0</v>
      </c>
      <c r="O43" s="991">
        <f>industrie!N22</f>
        <v>0</v>
      </c>
      <c r="P43" s="991">
        <f>industrie!O22</f>
        <v>0</v>
      </c>
      <c r="Q43" s="749">
        <f>industrie!P22</f>
        <v>0</v>
      </c>
      <c r="R43" s="824">
        <f t="shared" ca="1" si="4"/>
        <v>47366.182412029746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17520.544052296154</v>
      </c>
      <c r="D46" s="707">
        <f t="shared" ref="D46:Q46" ca="1" si="5">SUM(D39:D45)</f>
        <v>1.5805041251766225E-2</v>
      </c>
      <c r="E46" s="707">
        <f t="shared" ca="1" si="5"/>
        <v>35012.76372492229</v>
      </c>
      <c r="F46" s="707">
        <f t="shared" si="5"/>
        <v>4010.6419046704605</v>
      </c>
      <c r="G46" s="707">
        <f t="shared" ca="1" si="5"/>
        <v>27358.249383090639</v>
      </c>
      <c r="H46" s="707">
        <f t="shared" si="5"/>
        <v>0</v>
      </c>
      <c r="I46" s="707">
        <f t="shared" si="5"/>
        <v>0</v>
      </c>
      <c r="J46" s="707">
        <f t="shared" si="5"/>
        <v>0</v>
      </c>
      <c r="K46" s="707">
        <f t="shared" si="5"/>
        <v>230.23429876801785</v>
      </c>
      <c r="L46" s="707">
        <f t="shared" si="5"/>
        <v>0</v>
      </c>
      <c r="M46" s="707">
        <f t="shared" ca="1" si="5"/>
        <v>0</v>
      </c>
      <c r="N46" s="707">
        <f t="shared" si="5"/>
        <v>0</v>
      </c>
      <c r="O46" s="707">
        <f t="shared" ca="1" si="5"/>
        <v>0</v>
      </c>
      <c r="P46" s="707">
        <f t="shared" si="5"/>
        <v>0</v>
      </c>
      <c r="Q46" s="707">
        <f t="shared" si="5"/>
        <v>0</v>
      </c>
      <c r="R46" s="707">
        <f ca="1">SUM(R39:R45)</f>
        <v>84132.449168788822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566.14684134846846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566.14684134846846</v>
      </c>
    </row>
    <row r="50" spans="1:18">
      <c r="A50" s="800" t="s">
        <v>306</v>
      </c>
      <c r="B50" s="810"/>
      <c r="C50" s="678">
        <f ca="1">transport!B18</f>
        <v>2.2511869647516973</v>
      </c>
      <c r="D50" s="678">
        <f>transport!C18</f>
        <v>0</v>
      </c>
      <c r="E50" s="678">
        <f>transport!D18</f>
        <v>4.9964467863693427</v>
      </c>
      <c r="F50" s="678">
        <f>transport!E18</f>
        <v>53.651406367935486</v>
      </c>
      <c r="G50" s="678">
        <f>transport!F18</f>
        <v>0</v>
      </c>
      <c r="H50" s="678">
        <f>transport!G18</f>
        <v>20800.427950112342</v>
      </c>
      <c r="I50" s="678">
        <f>transport!H18</f>
        <v>3739.2817632963106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24600.608753527711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2.2511869647516973</v>
      </c>
      <c r="D52" s="707">
        <f t="shared" ref="D52:Q52" ca="1" si="6">SUM(D48:D51)</f>
        <v>0</v>
      </c>
      <c r="E52" s="707">
        <f t="shared" si="6"/>
        <v>4.9964467863693427</v>
      </c>
      <c r="F52" s="707">
        <f t="shared" si="6"/>
        <v>53.651406367935486</v>
      </c>
      <c r="G52" s="707">
        <f t="shared" si="6"/>
        <v>0</v>
      </c>
      <c r="H52" s="707">
        <f t="shared" si="6"/>
        <v>21366.574791460811</v>
      </c>
      <c r="I52" s="707">
        <f t="shared" si="6"/>
        <v>3739.2817632963106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25166.75559487618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1014.3101740232102</v>
      </c>
      <c r="D54" s="678">
        <f ca="1">+landbouw!C12</f>
        <v>7.6228504209331085</v>
      </c>
      <c r="E54" s="678">
        <f>+landbouw!D12</f>
        <v>963.53447247200018</v>
      </c>
      <c r="F54" s="678">
        <f>+landbouw!E12</f>
        <v>12.028972198972188</v>
      </c>
      <c r="G54" s="678">
        <f>+landbouw!F12</f>
        <v>3875.6324754635471</v>
      </c>
      <c r="H54" s="678">
        <f>+landbouw!G12</f>
        <v>0</v>
      </c>
      <c r="I54" s="678">
        <f>+landbouw!H12</f>
        <v>0</v>
      </c>
      <c r="J54" s="678">
        <f>+landbouw!I12</f>
        <v>0</v>
      </c>
      <c r="K54" s="678">
        <f>+landbouw!J12</f>
        <v>310.49547846590923</v>
      </c>
      <c r="L54" s="678">
        <f>+landbouw!K12</f>
        <v>0</v>
      </c>
      <c r="M54" s="678">
        <f>+landbouw!L12</f>
        <v>0</v>
      </c>
      <c r="N54" s="678">
        <f>+landbouw!M12</f>
        <v>0</v>
      </c>
      <c r="O54" s="678">
        <f>+landbouw!N12</f>
        <v>0</v>
      </c>
      <c r="P54" s="678">
        <f>+landbouw!O12</f>
        <v>0</v>
      </c>
      <c r="Q54" s="679">
        <f>+landbouw!P12</f>
        <v>0</v>
      </c>
      <c r="R54" s="706">
        <f ca="1">SUM(C54:Q54)</f>
        <v>6183.6244230445718</v>
      </c>
    </row>
    <row r="55" spans="1:18" ht="15" thickBot="1">
      <c r="A55" s="800" t="s">
        <v>849</v>
      </c>
      <c r="B55" s="810"/>
      <c r="C55" s="678">
        <f ca="1">C25*'EF ele_warmte'!B12</f>
        <v>119.16367134259337</v>
      </c>
      <c r="D55" s="678"/>
      <c r="E55" s="678">
        <f>E25*EF_CO2_aardgas</f>
        <v>234.15678400000002</v>
      </c>
      <c r="F55" s="678"/>
      <c r="G55" s="678"/>
      <c r="H55" s="678"/>
      <c r="I55" s="678"/>
      <c r="J55" s="678"/>
      <c r="K55" s="678"/>
      <c r="L55" s="678"/>
      <c r="M55" s="678"/>
      <c r="N55" s="678"/>
      <c r="O55" s="678"/>
      <c r="P55" s="678"/>
      <c r="Q55" s="679"/>
      <c r="R55" s="706">
        <f ca="1">SUM(C55:Q55)</f>
        <v>353.32045534259339</v>
      </c>
    </row>
    <row r="56" spans="1:18" ht="15.75" thickBot="1">
      <c r="A56" s="798" t="s">
        <v>850</v>
      </c>
      <c r="B56" s="811"/>
      <c r="C56" s="707">
        <f ca="1">SUM(C54:C55)</f>
        <v>1133.4738453658035</v>
      </c>
      <c r="D56" s="707">
        <f t="shared" ref="D56:Q56" ca="1" si="7">SUM(D54:D55)</f>
        <v>7.6228504209331085</v>
      </c>
      <c r="E56" s="707">
        <f t="shared" si="7"/>
        <v>1197.6912564720001</v>
      </c>
      <c r="F56" s="707">
        <f t="shared" si="7"/>
        <v>12.028972198972188</v>
      </c>
      <c r="G56" s="707">
        <f t="shared" si="7"/>
        <v>3875.6324754635471</v>
      </c>
      <c r="H56" s="707">
        <f t="shared" si="7"/>
        <v>0</v>
      </c>
      <c r="I56" s="707">
        <f t="shared" si="7"/>
        <v>0</v>
      </c>
      <c r="J56" s="707">
        <f t="shared" si="7"/>
        <v>0</v>
      </c>
      <c r="K56" s="707">
        <f t="shared" si="7"/>
        <v>310.49547846590923</v>
      </c>
      <c r="L56" s="707">
        <f t="shared" si="7"/>
        <v>0</v>
      </c>
      <c r="M56" s="707">
        <f t="shared" si="7"/>
        <v>0</v>
      </c>
      <c r="N56" s="707">
        <f t="shared" si="7"/>
        <v>0</v>
      </c>
      <c r="O56" s="707">
        <f t="shared" si="7"/>
        <v>0</v>
      </c>
      <c r="P56" s="707">
        <f t="shared" si="7"/>
        <v>0</v>
      </c>
      <c r="Q56" s="708">
        <f t="shared" si="7"/>
        <v>0</v>
      </c>
      <c r="R56" s="709">
        <f ca="1">SUM(R54:R55)</f>
        <v>6536.9448783871649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18656.269084626711</v>
      </c>
      <c r="D61" s="715">
        <f t="shared" ref="D61:Q61" ca="1" si="8">D46+D52+D56</f>
        <v>7.6386554621848743</v>
      </c>
      <c r="E61" s="715">
        <f t="shared" ca="1" si="8"/>
        <v>36215.451428180655</v>
      </c>
      <c r="F61" s="715">
        <f t="shared" si="8"/>
        <v>4076.3222832373681</v>
      </c>
      <c r="G61" s="715">
        <f t="shared" ca="1" si="8"/>
        <v>31233.881858554185</v>
      </c>
      <c r="H61" s="715">
        <f t="shared" si="8"/>
        <v>21366.574791460811</v>
      </c>
      <c r="I61" s="715">
        <f t="shared" si="8"/>
        <v>3739.2817632963106</v>
      </c>
      <c r="J61" s="715">
        <f t="shared" si="8"/>
        <v>0</v>
      </c>
      <c r="K61" s="715">
        <f t="shared" si="8"/>
        <v>540.72977723392705</v>
      </c>
      <c r="L61" s="715">
        <f t="shared" si="8"/>
        <v>0</v>
      </c>
      <c r="M61" s="715">
        <f t="shared" ca="1" si="8"/>
        <v>0</v>
      </c>
      <c r="N61" s="715">
        <f t="shared" si="8"/>
        <v>0</v>
      </c>
      <c r="O61" s="715">
        <f t="shared" ca="1" si="8"/>
        <v>0</v>
      </c>
      <c r="P61" s="715">
        <f t="shared" si="8"/>
        <v>0</v>
      </c>
      <c r="Q61" s="715">
        <f t="shared" si="8"/>
        <v>0</v>
      </c>
      <c r="R61" s="715">
        <f ca="1">R46+R52+R56</f>
        <v>115836.14964205217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0.17729338553962778</v>
      </c>
      <c r="D63" s="756">
        <f t="shared" ca="1" si="9"/>
        <v>4.917123944993936E-4</v>
      </c>
      <c r="E63" s="1002">
        <f t="shared" ca="1" si="9"/>
        <v>0.20199999999999999</v>
      </c>
      <c r="F63" s="756">
        <f t="shared" si="9"/>
        <v>0.22700000000000006</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9960.5547914387207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10851.862500000001</v>
      </c>
      <c r="C76" s="725">
        <f>'lokale energieproductie'!B8*IFERROR(SUM(D76:H76)/SUM(D76:O76),0)</f>
        <v>22.5</v>
      </c>
      <c r="D76" s="1012">
        <f>'lokale energieproductie'!C8</f>
        <v>26.47058823529412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12766.897058823532</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5.3470588235294123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20812.417291438724</v>
      </c>
      <c r="C78" s="730">
        <f>SUM(C72:C77)</f>
        <v>22.5</v>
      </c>
      <c r="D78" s="731">
        <f t="shared" ref="D78:H78" si="10">SUM(D76:D77)</f>
        <v>26.47058823529412</v>
      </c>
      <c r="E78" s="731">
        <f t="shared" si="10"/>
        <v>0</v>
      </c>
      <c r="F78" s="731">
        <f t="shared" si="10"/>
        <v>0</v>
      </c>
      <c r="G78" s="731">
        <f t="shared" si="10"/>
        <v>0</v>
      </c>
      <c r="H78" s="731">
        <f t="shared" si="10"/>
        <v>0</v>
      </c>
      <c r="I78" s="731">
        <f>SUM(I76:I77)</f>
        <v>0</v>
      </c>
      <c r="J78" s="731">
        <f>SUM(J76:J77)</f>
        <v>12766.897058823532</v>
      </c>
      <c r="K78" s="731">
        <f t="shared" ref="K78:L78" si="11">SUM(K76:K77)</f>
        <v>0</v>
      </c>
      <c r="L78" s="731">
        <f t="shared" si="11"/>
        <v>0</v>
      </c>
      <c r="M78" s="731">
        <f>SUM(M76:M77)</f>
        <v>0</v>
      </c>
      <c r="N78" s="731">
        <f>SUM(N76:N77)</f>
        <v>0</v>
      </c>
      <c r="O78" s="835">
        <f>SUM(O76:O77)</f>
        <v>0</v>
      </c>
      <c r="P78" s="732">
        <v>0</v>
      </c>
      <c r="Q78" s="732">
        <f>SUM(Q76:Q77)</f>
        <v>5.3470588235294123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15502.660714285716</v>
      </c>
      <c r="C87" s="741">
        <f>'lokale energieproductie'!B17*IFERROR(SUM(D87:H87)/SUM(D87:O87),0)</f>
        <v>32.142857142857146</v>
      </c>
      <c r="D87" s="752">
        <f>'lokale energieproductie'!C17</f>
        <v>37.815126050420169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18238.4243697479</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7.6386554621848743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15502.660714285716</v>
      </c>
      <c r="C90" s="730">
        <f>SUM(C87:C89)</f>
        <v>32.142857142857146</v>
      </c>
      <c r="D90" s="730">
        <f t="shared" ref="D90:H90" si="12">SUM(D87:D89)</f>
        <v>37.815126050420169</v>
      </c>
      <c r="E90" s="730">
        <f t="shared" si="12"/>
        <v>0</v>
      </c>
      <c r="F90" s="730">
        <f t="shared" si="12"/>
        <v>0</v>
      </c>
      <c r="G90" s="730">
        <f t="shared" si="12"/>
        <v>0</v>
      </c>
      <c r="H90" s="730">
        <f t="shared" si="12"/>
        <v>0</v>
      </c>
      <c r="I90" s="730">
        <f>SUM(I87:I89)</f>
        <v>0</v>
      </c>
      <c r="J90" s="730">
        <f>SUM(J87:J89)</f>
        <v>18238.4243697479</v>
      </c>
      <c r="K90" s="730">
        <f t="shared" ref="K90:L90" si="13">SUM(K87:K89)</f>
        <v>0</v>
      </c>
      <c r="L90" s="730">
        <f t="shared" si="13"/>
        <v>0</v>
      </c>
      <c r="M90" s="730">
        <f>SUM(M87:M89)</f>
        <v>0</v>
      </c>
      <c r="N90" s="730">
        <f>SUM(N87:N89)</f>
        <v>0</v>
      </c>
      <c r="O90" s="730">
        <f>SUM(O87:O89)</f>
        <v>0</v>
      </c>
      <c r="P90" s="730">
        <v>0</v>
      </c>
      <c r="Q90" s="730">
        <f>SUM(Q87:Q89)</f>
        <v>7.6386554621848743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27782.652101689713</v>
      </c>
      <c r="C4" s="452">
        <f>huishoudens!C8</f>
        <v>0</v>
      </c>
      <c r="D4" s="452">
        <f>huishoudens!D8</f>
        <v>40172.910690000004</v>
      </c>
      <c r="E4" s="452">
        <f>huishoudens!E8</f>
        <v>15408.876499934995</v>
      </c>
      <c r="F4" s="452">
        <f>huishoudens!F8</f>
        <v>39959.957700821178</v>
      </c>
      <c r="G4" s="452">
        <f>huishoudens!G8</f>
        <v>0</v>
      </c>
      <c r="H4" s="452">
        <f>huishoudens!H8</f>
        <v>0</v>
      </c>
      <c r="I4" s="452">
        <f>huishoudens!I8</f>
        <v>0</v>
      </c>
      <c r="J4" s="452">
        <f>huishoudens!J8</f>
        <v>0</v>
      </c>
      <c r="K4" s="452">
        <f>huishoudens!K8</f>
        <v>0</v>
      </c>
      <c r="L4" s="452">
        <f>huishoudens!L8</f>
        <v>0</v>
      </c>
      <c r="M4" s="452">
        <f>huishoudens!M8</f>
        <v>0</v>
      </c>
      <c r="N4" s="452">
        <f>huishoudens!N8</f>
        <v>11667.283192428373</v>
      </c>
      <c r="O4" s="452">
        <f>huishoudens!O8</f>
        <v>289.2166666666667</v>
      </c>
      <c r="P4" s="453">
        <f>huishoudens!P8</f>
        <v>629.20000000000005</v>
      </c>
      <c r="Q4" s="454">
        <f>SUM(B4:P4)</f>
        <v>135910.09685154096</v>
      </c>
    </row>
    <row r="5" spans="1:17">
      <c r="A5" s="451" t="s">
        <v>155</v>
      </c>
      <c r="B5" s="452">
        <f ca="1">tertiair!B16</f>
        <v>27666.513999999999</v>
      </c>
      <c r="C5" s="452">
        <f ca="1">tertiair!C16</f>
        <v>32.142857142857146</v>
      </c>
      <c r="D5" s="452">
        <f ca="1">tertiair!D16</f>
        <v>16263.630791714286</v>
      </c>
      <c r="E5" s="452">
        <f>tertiair!E16</f>
        <v>238.13691782107597</v>
      </c>
      <c r="F5" s="452">
        <f ca="1">tertiair!F16</f>
        <v>4142.8019477347625</v>
      </c>
      <c r="G5" s="452">
        <f>tertiair!G16</f>
        <v>0</v>
      </c>
      <c r="H5" s="452">
        <f>tertiair!H16</f>
        <v>0</v>
      </c>
      <c r="I5" s="452">
        <f>tertiair!I16</f>
        <v>0</v>
      </c>
      <c r="J5" s="452">
        <f>tertiair!J16</f>
        <v>0</v>
      </c>
      <c r="K5" s="452">
        <f>tertiair!K16</f>
        <v>0</v>
      </c>
      <c r="L5" s="452">
        <f ca="1">tertiair!L16</f>
        <v>0</v>
      </c>
      <c r="M5" s="452">
        <f>tertiair!M16</f>
        <v>0</v>
      </c>
      <c r="N5" s="452">
        <f ca="1">tertiair!N16</f>
        <v>3464.1873214359575</v>
      </c>
      <c r="O5" s="452">
        <f>tertiair!O16</f>
        <v>4.6900000000000004</v>
      </c>
      <c r="P5" s="453">
        <f>tertiair!P16</f>
        <v>76.266666666666666</v>
      </c>
      <c r="Q5" s="451">
        <f t="shared" ref="Q5:Q14" ca="1" si="0">SUM(B5:P5)</f>
        <v>51888.370502515609</v>
      </c>
    </row>
    <row r="6" spans="1:17">
      <c r="A6" s="451" t="s">
        <v>193</v>
      </c>
      <c r="B6" s="452">
        <f>'openbare verlichting'!B8</f>
        <v>1173.1420000000001</v>
      </c>
      <c r="C6" s="452"/>
      <c r="D6" s="452"/>
      <c r="E6" s="452"/>
      <c r="F6" s="452"/>
      <c r="G6" s="452"/>
      <c r="H6" s="452"/>
      <c r="I6" s="452"/>
      <c r="J6" s="452"/>
      <c r="K6" s="452"/>
      <c r="L6" s="452"/>
      <c r="M6" s="452"/>
      <c r="N6" s="452"/>
      <c r="O6" s="452"/>
      <c r="P6" s="453"/>
      <c r="Q6" s="451">
        <f t="shared" si="0"/>
        <v>1173.1420000000001</v>
      </c>
    </row>
    <row r="7" spans="1:17">
      <c r="A7" s="451" t="s">
        <v>111</v>
      </c>
      <c r="B7" s="452">
        <f>landbouw!B8</f>
        <v>5721.0829999999996</v>
      </c>
      <c r="C7" s="452">
        <f>landbouw!C8</f>
        <v>15502.660714285716</v>
      </c>
      <c r="D7" s="452">
        <f>landbouw!D8</f>
        <v>4769.9726360000004</v>
      </c>
      <c r="E7" s="452">
        <f>landbouw!E8</f>
        <v>52.991066955824614</v>
      </c>
      <c r="F7" s="452">
        <f>landbouw!F8</f>
        <v>14515.477436193059</v>
      </c>
      <c r="G7" s="452">
        <f>landbouw!G8</f>
        <v>0</v>
      </c>
      <c r="H7" s="452">
        <f>landbouw!H8</f>
        <v>0</v>
      </c>
      <c r="I7" s="452">
        <f>landbouw!I8</f>
        <v>0</v>
      </c>
      <c r="J7" s="452">
        <f>landbouw!J8</f>
        <v>877.10587137262496</v>
      </c>
      <c r="K7" s="452">
        <f>landbouw!K8</f>
        <v>0</v>
      </c>
      <c r="L7" s="452">
        <f>landbouw!L8</f>
        <v>0</v>
      </c>
      <c r="M7" s="452">
        <f>landbouw!M8</f>
        <v>0</v>
      </c>
      <c r="N7" s="452">
        <f>landbouw!N8</f>
        <v>0</v>
      </c>
      <c r="O7" s="452">
        <f>landbouw!O8</f>
        <v>0</v>
      </c>
      <c r="P7" s="453">
        <f>landbouw!P8</f>
        <v>0</v>
      </c>
      <c r="Q7" s="451">
        <f t="shared" si="0"/>
        <v>41439.290724807222</v>
      </c>
    </row>
    <row r="8" spans="1:17">
      <c r="A8" s="451" t="s">
        <v>649</v>
      </c>
      <c r="B8" s="452">
        <f>industrie!B18</f>
        <v>42200.01400000001</v>
      </c>
      <c r="C8" s="452">
        <f>industrie!C18</f>
        <v>0</v>
      </c>
      <c r="D8" s="452">
        <f>industrie!D18</f>
        <v>116893.97200800001</v>
      </c>
      <c r="E8" s="452">
        <f>industrie!E18</f>
        <v>2021.0125940080702</v>
      </c>
      <c r="F8" s="452">
        <f>industrie!F18</f>
        <v>58362.593846165561</v>
      </c>
      <c r="G8" s="452">
        <f>industrie!G18</f>
        <v>0</v>
      </c>
      <c r="H8" s="452">
        <f>industrie!H18</f>
        <v>0</v>
      </c>
      <c r="I8" s="452">
        <f>industrie!I18</f>
        <v>0</v>
      </c>
      <c r="J8" s="452">
        <f>industrie!J18</f>
        <v>650.37937505089792</v>
      </c>
      <c r="K8" s="452">
        <f>industrie!K18</f>
        <v>0</v>
      </c>
      <c r="L8" s="452">
        <f>industrie!L18</f>
        <v>0</v>
      </c>
      <c r="M8" s="452">
        <f>industrie!M18</f>
        <v>0</v>
      </c>
      <c r="N8" s="452">
        <f>industrie!N18</f>
        <v>14984.46799098699</v>
      </c>
      <c r="O8" s="452">
        <f>industrie!O18</f>
        <v>0</v>
      </c>
      <c r="P8" s="453">
        <f>industrie!P18</f>
        <v>0</v>
      </c>
      <c r="Q8" s="451">
        <f t="shared" si="0"/>
        <v>235112.43981421157</v>
      </c>
    </row>
    <row r="9" spans="1:17" s="457" customFormat="1">
      <c r="A9" s="455" t="s">
        <v>570</v>
      </c>
      <c r="B9" s="456">
        <f>transport!B14</f>
        <v>12.69752370005097</v>
      </c>
      <c r="C9" s="456">
        <f>transport!C14</f>
        <v>0</v>
      </c>
      <c r="D9" s="456">
        <f>transport!D14</f>
        <v>24.734885081036349</v>
      </c>
      <c r="E9" s="456">
        <f>transport!E14</f>
        <v>236.34980778826204</v>
      </c>
      <c r="F9" s="456">
        <f>transport!F14</f>
        <v>0</v>
      </c>
      <c r="G9" s="456">
        <f>transport!G14</f>
        <v>77904.224532255961</v>
      </c>
      <c r="H9" s="456">
        <f>transport!H14</f>
        <v>15017.195836531368</v>
      </c>
      <c r="I9" s="456">
        <f>transport!I14</f>
        <v>0</v>
      </c>
      <c r="J9" s="456">
        <f>transport!J14</f>
        <v>0</v>
      </c>
      <c r="K9" s="456">
        <f>transport!K14</f>
        <v>0</v>
      </c>
      <c r="L9" s="456">
        <f>transport!L14</f>
        <v>0</v>
      </c>
      <c r="M9" s="456">
        <f>transport!M14</f>
        <v>4974.7325354151444</v>
      </c>
      <c r="N9" s="456">
        <f>transport!N14</f>
        <v>0</v>
      </c>
      <c r="O9" s="456">
        <f>transport!O14</f>
        <v>0</v>
      </c>
      <c r="P9" s="456">
        <f>transport!P14</f>
        <v>0</v>
      </c>
      <c r="Q9" s="455">
        <f>SUM(B9:P9)</f>
        <v>98169.935120771814</v>
      </c>
    </row>
    <row r="10" spans="1:17">
      <c r="A10" s="451" t="s">
        <v>560</v>
      </c>
      <c r="B10" s="452">
        <f>transport!B54</f>
        <v>0</v>
      </c>
      <c r="C10" s="452">
        <f>transport!C54</f>
        <v>0</v>
      </c>
      <c r="D10" s="452">
        <f>transport!D54</f>
        <v>0</v>
      </c>
      <c r="E10" s="452">
        <f>transport!E54</f>
        <v>0</v>
      </c>
      <c r="F10" s="452">
        <f>transport!F54</f>
        <v>0</v>
      </c>
      <c r="G10" s="452">
        <f>transport!G54</f>
        <v>2120.4001548631777</v>
      </c>
      <c r="H10" s="452">
        <f>transport!H54</f>
        <v>0</v>
      </c>
      <c r="I10" s="452">
        <f>transport!I54</f>
        <v>0</v>
      </c>
      <c r="J10" s="452">
        <f>transport!J54</f>
        <v>0</v>
      </c>
      <c r="K10" s="452">
        <f>transport!K54</f>
        <v>0</v>
      </c>
      <c r="L10" s="452">
        <f>transport!L54</f>
        <v>0</v>
      </c>
      <c r="M10" s="452">
        <f>transport!M54</f>
        <v>121.19561897329936</v>
      </c>
      <c r="N10" s="452">
        <f>transport!N54</f>
        <v>0</v>
      </c>
      <c r="O10" s="452">
        <f>transport!O54</f>
        <v>0</v>
      </c>
      <c r="P10" s="453">
        <f>transport!P54</f>
        <v>0</v>
      </c>
      <c r="Q10" s="451">
        <f t="shared" si="0"/>
        <v>2241.5957738364768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672.12699999999995</v>
      </c>
      <c r="C14" s="459"/>
      <c r="D14" s="459">
        <f>'SEAP template'!E25</f>
        <v>1159.192</v>
      </c>
      <c r="E14" s="459"/>
      <c r="F14" s="459"/>
      <c r="G14" s="459"/>
      <c r="H14" s="459"/>
      <c r="I14" s="459"/>
      <c r="J14" s="459"/>
      <c r="K14" s="459"/>
      <c r="L14" s="459"/>
      <c r="M14" s="459"/>
      <c r="N14" s="459"/>
      <c r="O14" s="459"/>
      <c r="P14" s="460"/>
      <c r="Q14" s="451">
        <f t="shared" si="0"/>
        <v>1831.319</v>
      </c>
    </row>
    <row r="15" spans="1:17" s="461" customFormat="1">
      <c r="A15" s="1017" t="s">
        <v>564</v>
      </c>
      <c r="B15" s="957">
        <f ca="1">SUM(B4:B14)</f>
        <v>105228.22962538975</v>
      </c>
      <c r="C15" s="957">
        <f t="shared" ref="C15:Q15" ca="1" si="1">SUM(C4:C14)</f>
        <v>15534.803571428572</v>
      </c>
      <c r="D15" s="957">
        <f t="shared" ca="1" si="1"/>
        <v>179284.41301079534</v>
      </c>
      <c r="E15" s="957">
        <f t="shared" si="1"/>
        <v>17957.366886508225</v>
      </c>
      <c r="F15" s="957">
        <f t="shared" ca="1" si="1"/>
        <v>116980.83093091456</v>
      </c>
      <c r="G15" s="957">
        <f t="shared" si="1"/>
        <v>80024.62468711914</v>
      </c>
      <c r="H15" s="957">
        <f t="shared" si="1"/>
        <v>15017.195836531368</v>
      </c>
      <c r="I15" s="957">
        <f t="shared" si="1"/>
        <v>0</v>
      </c>
      <c r="J15" s="957">
        <f t="shared" si="1"/>
        <v>1527.4852464235228</v>
      </c>
      <c r="K15" s="957">
        <f t="shared" si="1"/>
        <v>0</v>
      </c>
      <c r="L15" s="957">
        <f t="shared" ca="1" si="1"/>
        <v>0</v>
      </c>
      <c r="M15" s="957">
        <f t="shared" si="1"/>
        <v>5095.9281543884435</v>
      </c>
      <c r="N15" s="957">
        <f t="shared" ca="1" si="1"/>
        <v>30115.938504851321</v>
      </c>
      <c r="O15" s="957">
        <f t="shared" si="1"/>
        <v>293.90666666666669</v>
      </c>
      <c r="P15" s="957">
        <f t="shared" si="1"/>
        <v>705.4666666666667</v>
      </c>
      <c r="Q15" s="957">
        <f t="shared" ca="1" si="1"/>
        <v>567766.18978768366</v>
      </c>
    </row>
    <row r="17" spans="1:17">
      <c r="A17" s="462" t="s">
        <v>565</v>
      </c>
      <c r="B17" s="761">
        <f ca="1">huishoudens!B10</f>
        <v>0.17729338553962776</v>
      </c>
      <c r="C17" s="761">
        <f ca="1">huishoudens!C10</f>
        <v>4.917123944993936E-4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4925.6804503782241</v>
      </c>
      <c r="C22" s="452">
        <f t="shared" ref="C22:C32" ca="1" si="3">C4*$C$17</f>
        <v>0</v>
      </c>
      <c r="D22" s="452">
        <f t="shared" ref="D22:D32" si="4">D4*$D$17</f>
        <v>8114.9279593800011</v>
      </c>
      <c r="E22" s="452">
        <f t="shared" ref="E22:E32" si="5">E4*$E$17</f>
        <v>3497.8149654852441</v>
      </c>
      <c r="F22" s="452">
        <f t="shared" ref="F22:F32" si="6">F4*$F$17</f>
        <v>10669.308706119255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27207.732081362723</v>
      </c>
    </row>
    <row r="23" spans="1:17">
      <c r="A23" s="451" t="s">
        <v>155</v>
      </c>
      <c r="B23" s="452">
        <f t="shared" ca="1" si="2"/>
        <v>4905.0899331395085</v>
      </c>
      <c r="C23" s="452">
        <f t="shared" ca="1" si="3"/>
        <v>1.5805041251766225E-2</v>
      </c>
      <c r="D23" s="452">
        <f t="shared" ca="1" si="4"/>
        <v>3285.2534199262859</v>
      </c>
      <c r="E23" s="452">
        <f t="shared" si="5"/>
        <v>54.05708034538425</v>
      </c>
      <c r="F23" s="452">
        <f t="shared" ca="1" si="6"/>
        <v>1106.1281200451817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9350.5443584976128</v>
      </c>
    </row>
    <row r="24" spans="1:17">
      <c r="A24" s="451" t="s">
        <v>193</v>
      </c>
      <c r="B24" s="452">
        <f t="shared" ca="1" si="2"/>
        <v>207.99031689872999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207.99031689872999</v>
      </c>
    </row>
    <row r="25" spans="1:17">
      <c r="A25" s="451" t="s">
        <v>111</v>
      </c>
      <c r="B25" s="452">
        <f t="shared" ca="1" si="2"/>
        <v>1014.3101740232102</v>
      </c>
      <c r="C25" s="452">
        <f t="shared" ca="1" si="3"/>
        <v>7.6228504209331085</v>
      </c>
      <c r="D25" s="452">
        <f t="shared" si="4"/>
        <v>963.53447247200018</v>
      </c>
      <c r="E25" s="452">
        <f t="shared" si="5"/>
        <v>12.028972198972188</v>
      </c>
      <c r="F25" s="452">
        <f t="shared" si="6"/>
        <v>3875.6324754635471</v>
      </c>
      <c r="G25" s="452">
        <f t="shared" si="7"/>
        <v>0</v>
      </c>
      <c r="H25" s="452">
        <f t="shared" si="8"/>
        <v>0</v>
      </c>
      <c r="I25" s="452">
        <f t="shared" si="9"/>
        <v>0</v>
      </c>
      <c r="J25" s="452">
        <f t="shared" si="10"/>
        <v>310.49547846590923</v>
      </c>
      <c r="K25" s="452">
        <f t="shared" si="11"/>
        <v>0</v>
      </c>
      <c r="L25" s="452">
        <f t="shared" si="12"/>
        <v>0</v>
      </c>
      <c r="M25" s="452">
        <f t="shared" si="13"/>
        <v>0</v>
      </c>
      <c r="N25" s="452">
        <f t="shared" si="14"/>
        <v>0</v>
      </c>
      <c r="O25" s="452">
        <f t="shared" si="15"/>
        <v>0</v>
      </c>
      <c r="P25" s="453">
        <f t="shared" si="16"/>
        <v>0</v>
      </c>
      <c r="Q25" s="451">
        <f t="shared" ca="1" si="17"/>
        <v>6183.6244230445718</v>
      </c>
    </row>
    <row r="26" spans="1:17">
      <c r="A26" s="451" t="s">
        <v>649</v>
      </c>
      <c r="B26" s="452">
        <f t="shared" ca="1" si="2"/>
        <v>7481.7833518796906</v>
      </c>
      <c r="C26" s="452">
        <f t="shared" ca="1" si="3"/>
        <v>0</v>
      </c>
      <c r="D26" s="452">
        <f t="shared" si="4"/>
        <v>23612.582345616003</v>
      </c>
      <c r="E26" s="452">
        <f t="shared" si="5"/>
        <v>458.76985883983195</v>
      </c>
      <c r="F26" s="452">
        <f t="shared" si="6"/>
        <v>15582.812556926205</v>
      </c>
      <c r="G26" s="452">
        <f t="shared" si="7"/>
        <v>0</v>
      </c>
      <c r="H26" s="452">
        <f t="shared" si="8"/>
        <v>0</v>
      </c>
      <c r="I26" s="452">
        <f t="shared" si="9"/>
        <v>0</v>
      </c>
      <c r="J26" s="452">
        <f t="shared" si="10"/>
        <v>230.23429876801785</v>
      </c>
      <c r="K26" s="452">
        <f t="shared" si="11"/>
        <v>0</v>
      </c>
      <c r="L26" s="452">
        <f t="shared" si="12"/>
        <v>0</v>
      </c>
      <c r="M26" s="452">
        <f t="shared" si="13"/>
        <v>0</v>
      </c>
      <c r="N26" s="452">
        <f t="shared" si="14"/>
        <v>0</v>
      </c>
      <c r="O26" s="452">
        <f t="shared" si="15"/>
        <v>0</v>
      </c>
      <c r="P26" s="453">
        <f t="shared" si="16"/>
        <v>0</v>
      </c>
      <c r="Q26" s="451">
        <f t="shared" ca="1" si="17"/>
        <v>47366.182412029746</v>
      </c>
    </row>
    <row r="27" spans="1:17" s="457" customFormat="1">
      <c r="A27" s="455" t="s">
        <v>570</v>
      </c>
      <c r="B27" s="755">
        <f t="shared" ca="1" si="2"/>
        <v>2.2511869647516973</v>
      </c>
      <c r="C27" s="456">
        <f t="shared" ca="1" si="3"/>
        <v>0</v>
      </c>
      <c r="D27" s="456">
        <f t="shared" si="4"/>
        <v>4.9964467863693427</v>
      </c>
      <c r="E27" s="456">
        <f t="shared" si="5"/>
        <v>53.651406367935486</v>
      </c>
      <c r="F27" s="456">
        <f t="shared" si="6"/>
        <v>0</v>
      </c>
      <c r="G27" s="456">
        <f t="shared" si="7"/>
        <v>20800.427950112342</v>
      </c>
      <c r="H27" s="456">
        <f t="shared" si="8"/>
        <v>3739.2817632963106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24600.608753527711</v>
      </c>
    </row>
    <row r="28" spans="1:17">
      <c r="A28" s="451" t="s">
        <v>560</v>
      </c>
      <c r="B28" s="452">
        <f t="shared" ca="1" si="2"/>
        <v>0</v>
      </c>
      <c r="C28" s="452">
        <f t="shared" ca="1" si="3"/>
        <v>0</v>
      </c>
      <c r="D28" s="452">
        <f t="shared" si="4"/>
        <v>0</v>
      </c>
      <c r="E28" s="452">
        <f t="shared" si="5"/>
        <v>0</v>
      </c>
      <c r="F28" s="452">
        <f t="shared" si="6"/>
        <v>0</v>
      </c>
      <c r="G28" s="452">
        <f t="shared" si="7"/>
        <v>566.14684134846846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566.14684134846846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119.16367134259337</v>
      </c>
      <c r="C32" s="452">
        <f t="shared" ca="1" si="3"/>
        <v>0</v>
      </c>
      <c r="D32" s="452">
        <f t="shared" si="4"/>
        <v>234.15678400000002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353.32045534259339</v>
      </c>
    </row>
    <row r="33" spans="1:17" s="461" customFormat="1">
      <c r="A33" s="1017" t="s">
        <v>564</v>
      </c>
      <c r="B33" s="957">
        <f ca="1">SUM(B22:B32)</f>
        <v>18656.269084626711</v>
      </c>
      <c r="C33" s="957">
        <f t="shared" ref="C33:Q33" ca="1" si="18">SUM(C22:C32)</f>
        <v>7.6386554621848743</v>
      </c>
      <c r="D33" s="957">
        <f t="shared" ca="1" si="18"/>
        <v>36215.451428180655</v>
      </c>
      <c r="E33" s="957">
        <f t="shared" si="18"/>
        <v>4076.3222832373681</v>
      </c>
      <c r="F33" s="957">
        <f t="shared" ca="1" si="18"/>
        <v>31233.881858554189</v>
      </c>
      <c r="G33" s="957">
        <f t="shared" si="18"/>
        <v>21366.574791460811</v>
      </c>
      <c r="H33" s="957">
        <f t="shared" si="18"/>
        <v>3739.2817632963106</v>
      </c>
      <c r="I33" s="957">
        <f t="shared" si="18"/>
        <v>0</v>
      </c>
      <c r="J33" s="957">
        <f t="shared" si="18"/>
        <v>540.72977723392705</v>
      </c>
      <c r="K33" s="957">
        <f t="shared" si="18"/>
        <v>0</v>
      </c>
      <c r="L33" s="957">
        <f t="shared" ca="1" si="18"/>
        <v>0</v>
      </c>
      <c r="M33" s="957">
        <f t="shared" si="18"/>
        <v>0</v>
      </c>
      <c r="N33" s="957">
        <f t="shared" ca="1" si="18"/>
        <v>0</v>
      </c>
      <c r="O33" s="957">
        <f t="shared" si="18"/>
        <v>0</v>
      </c>
      <c r="P33" s="957">
        <f t="shared" si="18"/>
        <v>0</v>
      </c>
      <c r="Q33" s="957">
        <f t="shared" ca="1" si="18"/>
        <v>115836.14964205216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9960.5547914387207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10851.862500000001</v>
      </c>
      <c r="C8" s="1034">
        <f>'SEAP template'!C76</f>
        <v>22.5</v>
      </c>
      <c r="D8" s="1034">
        <f>'SEAP template'!D76</f>
        <v>26.47058823529412</v>
      </c>
      <c r="E8" s="1034">
        <f>'SEAP template'!E76</f>
        <v>0</v>
      </c>
      <c r="F8" s="1034">
        <f>'SEAP template'!F76</f>
        <v>0</v>
      </c>
      <c r="G8" s="1034">
        <f>'SEAP template'!G76</f>
        <v>0</v>
      </c>
      <c r="H8" s="1034">
        <f>'SEAP template'!H76</f>
        <v>0</v>
      </c>
      <c r="I8" s="1034">
        <f>'SEAP template'!I76</f>
        <v>0</v>
      </c>
      <c r="J8" s="1034">
        <f>'SEAP template'!J76</f>
        <v>12766.897058823532</v>
      </c>
      <c r="K8" s="1034">
        <f>'SEAP template'!K76</f>
        <v>0</v>
      </c>
      <c r="L8" s="1034">
        <f>'SEAP template'!L76</f>
        <v>0</v>
      </c>
      <c r="M8" s="1034">
        <f>'SEAP template'!M76</f>
        <v>0</v>
      </c>
      <c r="N8" s="1034">
        <f>'SEAP template'!N76</f>
        <v>0</v>
      </c>
      <c r="O8" s="1034">
        <f>'SEAP template'!O76</f>
        <v>0</v>
      </c>
      <c r="P8" s="1035">
        <f>'SEAP template'!Q76</f>
        <v>5.3470588235294123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20812.417291438724</v>
      </c>
      <c r="C10" s="1038">
        <f>SUM(C4:C9)</f>
        <v>22.5</v>
      </c>
      <c r="D10" s="1038">
        <f t="shared" ref="D10:H10" si="0">SUM(D8:D9)</f>
        <v>26.47058823529412</v>
      </c>
      <c r="E10" s="1038">
        <f t="shared" si="0"/>
        <v>0</v>
      </c>
      <c r="F10" s="1038">
        <f t="shared" si="0"/>
        <v>0</v>
      </c>
      <c r="G10" s="1038">
        <f t="shared" si="0"/>
        <v>0</v>
      </c>
      <c r="H10" s="1038">
        <f t="shared" si="0"/>
        <v>0</v>
      </c>
      <c r="I10" s="1038">
        <f>SUM(I8:I9)</f>
        <v>0</v>
      </c>
      <c r="J10" s="1038">
        <f>SUM(J8:J9)</f>
        <v>12766.897058823532</v>
      </c>
      <c r="K10" s="1038">
        <f t="shared" ref="K10:L10" si="1">SUM(K8:K9)</f>
        <v>0</v>
      </c>
      <c r="L10" s="1038">
        <f t="shared" si="1"/>
        <v>0</v>
      </c>
      <c r="M10" s="1038">
        <f>SUM(M8:M9)</f>
        <v>0</v>
      </c>
      <c r="N10" s="1038">
        <f>SUM(N8:N9)</f>
        <v>0</v>
      </c>
      <c r="O10" s="1038">
        <f>SUM(O8:O9)</f>
        <v>0</v>
      </c>
      <c r="P10" s="1038">
        <f>SUM(P8:P9)</f>
        <v>5.3470588235294123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0.17729338553962776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15502.660714285716</v>
      </c>
      <c r="C17" s="1040">
        <f>'SEAP template'!C87</f>
        <v>32.142857142857146</v>
      </c>
      <c r="D17" s="1035">
        <f>'SEAP template'!D87</f>
        <v>37.815126050420169</v>
      </c>
      <c r="E17" s="1035">
        <f>'SEAP template'!E87</f>
        <v>0</v>
      </c>
      <c r="F17" s="1035">
        <f>'SEAP template'!F87</f>
        <v>0</v>
      </c>
      <c r="G17" s="1035">
        <f>'SEAP template'!G87</f>
        <v>0</v>
      </c>
      <c r="H17" s="1035">
        <f>'SEAP template'!H87</f>
        <v>0</v>
      </c>
      <c r="I17" s="1035">
        <f>'SEAP template'!I87</f>
        <v>0</v>
      </c>
      <c r="J17" s="1035">
        <f>'SEAP template'!J87</f>
        <v>18238.4243697479</v>
      </c>
      <c r="K17" s="1035">
        <f>'SEAP template'!K87</f>
        <v>0</v>
      </c>
      <c r="L17" s="1035">
        <f>'SEAP template'!L87</f>
        <v>0</v>
      </c>
      <c r="M17" s="1035">
        <f>'SEAP template'!M87</f>
        <v>0</v>
      </c>
      <c r="N17" s="1035">
        <f>'SEAP template'!N87</f>
        <v>0</v>
      </c>
      <c r="O17" s="1035">
        <f>'SEAP template'!O87</f>
        <v>0</v>
      </c>
      <c r="P17" s="1035">
        <f>'SEAP template'!Q87</f>
        <v>7.6386554621848743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15502.660714285716</v>
      </c>
      <c r="C20" s="1038">
        <f>SUM(C17:C19)</f>
        <v>32.142857142857146</v>
      </c>
      <c r="D20" s="1038">
        <f t="shared" ref="D20:H20" si="2">SUM(D17:D19)</f>
        <v>37.815126050420169</v>
      </c>
      <c r="E20" s="1038">
        <f t="shared" si="2"/>
        <v>0</v>
      </c>
      <c r="F20" s="1038">
        <f t="shared" si="2"/>
        <v>0</v>
      </c>
      <c r="G20" s="1038">
        <f t="shared" si="2"/>
        <v>0</v>
      </c>
      <c r="H20" s="1038">
        <f t="shared" si="2"/>
        <v>0</v>
      </c>
      <c r="I20" s="1038">
        <f>SUM(I17:I19)</f>
        <v>0</v>
      </c>
      <c r="J20" s="1038">
        <f>SUM(J17:J19)</f>
        <v>18238.4243697479</v>
      </c>
      <c r="K20" s="1038">
        <f t="shared" ref="K20:L20" si="3">SUM(K17:K19)</f>
        <v>0</v>
      </c>
      <c r="L20" s="1038">
        <f t="shared" si="3"/>
        <v>0</v>
      </c>
      <c r="M20" s="1038">
        <f>SUM(M17:M19)</f>
        <v>0</v>
      </c>
      <c r="N20" s="1038">
        <f>SUM(N17:N19)</f>
        <v>0</v>
      </c>
      <c r="O20" s="1038">
        <f>SUM(O17:O19)</f>
        <v>0</v>
      </c>
      <c r="P20" s="1038">
        <f>SUM(P17:P19)</f>
        <v>7.6386554621848743</v>
      </c>
    </row>
    <row r="22" spans="1:16">
      <c r="A22" s="462" t="s">
        <v>873</v>
      </c>
      <c r="B22" s="761" t="s">
        <v>867</v>
      </c>
      <c r="C22" s="761">
        <f ca="1">'EF ele_warmte'!B22</f>
        <v>4.917123944993936E-4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0.17729338553962776</v>
      </c>
      <c r="C17" s="499">
        <f ca="1">'EF ele_warmte'!B22</f>
        <v>4.917123944993936E-4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0.17729338553962776</v>
      </c>
      <c r="C17" s="499">
        <f ca="1">'EF ele_warmte'!B22</f>
        <v>4.917123944993936E-4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0.17729338553962776</v>
      </c>
      <c r="C29" s="500">
        <f ca="1">'EF ele_warmte'!B22</f>
        <v>4.917123944993936E-4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6429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4096</v>
      </c>
      <c r="C14" s="330"/>
      <c r="D14" s="330"/>
      <c r="E14" s="330"/>
      <c r="F14" s="330"/>
    </row>
    <row r="15" spans="1:6">
      <c r="A15" s="1305" t="s">
        <v>183</v>
      </c>
      <c r="B15" s="1306">
        <v>1928</v>
      </c>
      <c r="C15" s="330"/>
      <c r="D15" s="330"/>
      <c r="E15" s="330"/>
      <c r="F15" s="330"/>
    </row>
    <row r="16" spans="1:6">
      <c r="A16" s="1305" t="s">
        <v>6</v>
      </c>
      <c r="B16" s="1306">
        <v>4159</v>
      </c>
      <c r="C16" s="330"/>
      <c r="D16" s="330"/>
      <c r="E16" s="330"/>
      <c r="F16" s="330"/>
    </row>
    <row r="17" spans="1:6">
      <c r="A17" s="1305" t="s">
        <v>7</v>
      </c>
      <c r="B17" s="1306">
        <v>289</v>
      </c>
      <c r="C17" s="330"/>
      <c r="D17" s="330"/>
      <c r="E17" s="330"/>
      <c r="F17" s="330"/>
    </row>
    <row r="18" spans="1:6">
      <c r="A18" s="1305" t="s">
        <v>8</v>
      </c>
      <c r="B18" s="1306">
        <v>2406</v>
      </c>
      <c r="C18" s="330"/>
      <c r="D18" s="330"/>
      <c r="E18" s="330"/>
      <c r="F18" s="330"/>
    </row>
    <row r="19" spans="1:6">
      <c r="A19" s="1305" t="s">
        <v>9</v>
      </c>
      <c r="B19" s="1306">
        <v>2212</v>
      </c>
      <c r="C19" s="330"/>
      <c r="D19" s="330"/>
      <c r="E19" s="330"/>
      <c r="F19" s="330"/>
    </row>
    <row r="20" spans="1:6">
      <c r="A20" s="1305" t="s">
        <v>10</v>
      </c>
      <c r="B20" s="1306">
        <v>1130</v>
      </c>
      <c r="C20" s="330"/>
      <c r="D20" s="330"/>
      <c r="E20" s="330"/>
      <c r="F20" s="330"/>
    </row>
    <row r="21" spans="1:6">
      <c r="A21" s="1305" t="s">
        <v>11</v>
      </c>
      <c r="B21" s="1306">
        <v>10968</v>
      </c>
      <c r="C21" s="330"/>
      <c r="D21" s="330"/>
      <c r="E21" s="330"/>
      <c r="F21" s="330"/>
    </row>
    <row r="22" spans="1:6">
      <c r="A22" s="1305" t="s">
        <v>12</v>
      </c>
      <c r="B22" s="1306">
        <v>28749</v>
      </c>
      <c r="C22" s="330"/>
      <c r="D22" s="330"/>
      <c r="E22" s="330"/>
      <c r="F22" s="330"/>
    </row>
    <row r="23" spans="1:6">
      <c r="A23" s="1305" t="s">
        <v>13</v>
      </c>
      <c r="B23" s="1306">
        <v>346</v>
      </c>
      <c r="C23" s="330"/>
      <c r="D23" s="330"/>
      <c r="E23" s="330"/>
      <c r="F23" s="330"/>
    </row>
    <row r="24" spans="1:6">
      <c r="A24" s="1305" t="s">
        <v>14</v>
      </c>
      <c r="B24" s="1306">
        <v>25</v>
      </c>
      <c r="C24" s="330"/>
      <c r="D24" s="330"/>
      <c r="E24" s="330"/>
      <c r="F24" s="330"/>
    </row>
    <row r="25" spans="1:6">
      <c r="A25" s="1305" t="s">
        <v>15</v>
      </c>
      <c r="B25" s="1306">
        <v>3111</v>
      </c>
      <c r="C25" s="330"/>
      <c r="D25" s="330"/>
      <c r="E25" s="330"/>
      <c r="F25" s="330"/>
    </row>
    <row r="26" spans="1:6">
      <c r="A26" s="1305" t="s">
        <v>16</v>
      </c>
      <c r="B26" s="1306">
        <v>238</v>
      </c>
      <c r="C26" s="330"/>
      <c r="D26" s="330"/>
      <c r="E26" s="330"/>
      <c r="F26" s="330"/>
    </row>
    <row r="27" spans="1:6">
      <c r="A27" s="1305" t="s">
        <v>17</v>
      </c>
      <c r="B27" s="1306">
        <v>4</v>
      </c>
      <c r="C27" s="330"/>
      <c r="D27" s="330"/>
      <c r="E27" s="330"/>
      <c r="F27" s="330"/>
    </row>
    <row r="28" spans="1:6" s="43" customFormat="1">
      <c r="A28" s="1307" t="s">
        <v>18</v>
      </c>
      <c r="B28" s="1308">
        <v>203154</v>
      </c>
      <c r="C28" s="336"/>
      <c r="D28" s="336"/>
      <c r="E28" s="336"/>
      <c r="F28" s="336"/>
    </row>
    <row r="29" spans="1:6">
      <c r="A29" s="1307" t="s">
        <v>909</v>
      </c>
      <c r="B29" s="1308">
        <v>346</v>
      </c>
      <c r="C29" s="336"/>
      <c r="D29" s="336"/>
      <c r="E29" s="336"/>
      <c r="F29" s="336"/>
    </row>
    <row r="30" spans="1:6">
      <c r="A30" s="1300" t="s">
        <v>910</v>
      </c>
      <c r="B30" s="1309">
        <v>84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17</v>
      </c>
      <c r="D36" s="1306">
        <v>3255076</v>
      </c>
      <c r="E36" s="1306">
        <v>41</v>
      </c>
      <c r="F36" s="1306">
        <v>39694</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24920</v>
      </c>
    </row>
    <row r="39" spans="1:6">
      <c r="A39" s="1305" t="s">
        <v>29</v>
      </c>
      <c r="B39" s="1305" t="s">
        <v>30</v>
      </c>
      <c r="C39" s="1306">
        <v>3202</v>
      </c>
      <c r="D39" s="1306">
        <v>44537595</v>
      </c>
      <c r="E39" s="1306">
        <v>6530</v>
      </c>
      <c r="F39" s="1306">
        <v>22627990</v>
      </c>
    </row>
    <row r="40" spans="1:6">
      <c r="A40" s="1305" t="s">
        <v>29</v>
      </c>
      <c r="B40" s="1305" t="s">
        <v>28</v>
      </c>
      <c r="C40" s="1306">
        <v>0</v>
      </c>
      <c r="D40" s="1306">
        <v>0</v>
      </c>
      <c r="E40" s="1306">
        <v>0</v>
      </c>
      <c r="F40" s="1306">
        <v>0</v>
      </c>
    </row>
    <row r="41" spans="1:6">
      <c r="A41" s="1305" t="s">
        <v>31</v>
      </c>
      <c r="B41" s="1305" t="s">
        <v>32</v>
      </c>
      <c r="C41" s="1306">
        <v>69</v>
      </c>
      <c r="D41" s="1306">
        <v>1836039</v>
      </c>
      <c r="E41" s="1306">
        <v>179</v>
      </c>
      <c r="F41" s="1306">
        <v>5547385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17</v>
      </c>
      <c r="D44" s="1306">
        <v>2488291</v>
      </c>
      <c r="E44" s="1306">
        <v>34</v>
      </c>
      <c r="F44" s="1306">
        <v>8518571</v>
      </c>
    </row>
    <row r="45" spans="1:6">
      <c r="A45" s="1305" t="s">
        <v>31</v>
      </c>
      <c r="B45" s="1305" t="s">
        <v>36</v>
      </c>
      <c r="C45" s="1306">
        <v>5</v>
      </c>
      <c r="D45" s="1306">
        <v>95677</v>
      </c>
      <c r="E45" s="1306">
        <v>12</v>
      </c>
      <c r="F45" s="1306">
        <v>337103</v>
      </c>
    </row>
    <row r="46" spans="1:6">
      <c r="A46" s="1305" t="s">
        <v>31</v>
      </c>
      <c r="B46" s="1305" t="s">
        <v>37</v>
      </c>
      <c r="C46" s="1306">
        <v>0</v>
      </c>
      <c r="D46" s="1306">
        <v>0</v>
      </c>
      <c r="E46" s="1306">
        <v>0</v>
      </c>
      <c r="F46" s="1306">
        <v>0</v>
      </c>
    </row>
    <row r="47" spans="1:6">
      <c r="A47" s="1305" t="s">
        <v>31</v>
      </c>
      <c r="B47" s="1305" t="s">
        <v>38</v>
      </c>
      <c r="C47" s="1306">
        <v>8</v>
      </c>
      <c r="D47" s="1306">
        <v>174806</v>
      </c>
      <c r="E47" s="1306">
        <v>10</v>
      </c>
      <c r="F47" s="1306">
        <v>121461</v>
      </c>
    </row>
    <row r="48" spans="1:6">
      <c r="A48" s="1305" t="s">
        <v>31</v>
      </c>
      <c r="B48" s="1305" t="s">
        <v>28</v>
      </c>
      <c r="C48" s="1306">
        <v>0</v>
      </c>
      <c r="D48" s="1306">
        <v>0</v>
      </c>
      <c r="E48" s="1306">
        <v>1</v>
      </c>
      <c r="F48" s="1306">
        <v>64944</v>
      </c>
    </row>
    <row r="49" spans="1:6">
      <c r="A49" s="1305" t="s">
        <v>31</v>
      </c>
      <c r="B49" s="1305" t="s">
        <v>39</v>
      </c>
      <c r="C49" s="1306">
        <v>3</v>
      </c>
      <c r="D49" s="1306">
        <v>1422220</v>
      </c>
      <c r="E49" s="1306">
        <v>3</v>
      </c>
      <c r="F49" s="1306">
        <v>468124</v>
      </c>
    </row>
    <row r="50" spans="1:6">
      <c r="A50" s="1305" t="s">
        <v>31</v>
      </c>
      <c r="B50" s="1305" t="s">
        <v>40</v>
      </c>
      <c r="C50" s="1306">
        <v>7</v>
      </c>
      <c r="D50" s="1306">
        <v>123577171</v>
      </c>
      <c r="E50" s="1306">
        <v>22</v>
      </c>
      <c r="F50" s="1306">
        <v>27142426</v>
      </c>
    </row>
    <row r="51" spans="1:6">
      <c r="A51" s="1305" t="s">
        <v>41</v>
      </c>
      <c r="B51" s="1305" t="s">
        <v>42</v>
      </c>
      <c r="C51" s="1306">
        <v>8</v>
      </c>
      <c r="D51" s="1306">
        <v>5288218</v>
      </c>
      <c r="E51" s="1306">
        <v>147</v>
      </c>
      <c r="F51" s="1306">
        <v>5721083</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97</v>
      </c>
      <c r="F54" s="1306">
        <v>1173142</v>
      </c>
    </row>
    <row r="55" spans="1:6">
      <c r="A55" s="1305" t="s">
        <v>45</v>
      </c>
      <c r="B55" s="1305" t="s">
        <v>28</v>
      </c>
      <c r="C55" s="1306">
        <v>0</v>
      </c>
      <c r="D55" s="1306">
        <v>0</v>
      </c>
      <c r="E55" s="1306">
        <v>0</v>
      </c>
      <c r="F55" s="1306">
        <v>0</v>
      </c>
    </row>
    <row r="56" spans="1:6">
      <c r="A56" s="1305" t="s">
        <v>47</v>
      </c>
      <c r="B56" s="1305" t="s">
        <v>28</v>
      </c>
      <c r="C56" s="1306">
        <v>59</v>
      </c>
      <c r="D56" s="1306">
        <v>1159192</v>
      </c>
      <c r="E56" s="1306">
        <v>145</v>
      </c>
      <c r="F56" s="1306">
        <v>672127</v>
      </c>
    </row>
    <row r="57" spans="1:6">
      <c r="A57" s="1305" t="s">
        <v>48</v>
      </c>
      <c r="B57" s="1305" t="s">
        <v>49</v>
      </c>
      <c r="C57" s="1306">
        <v>26</v>
      </c>
      <c r="D57" s="1306">
        <v>1504764</v>
      </c>
      <c r="E57" s="1306">
        <v>81</v>
      </c>
      <c r="F57" s="1306">
        <v>4661658</v>
      </c>
    </row>
    <row r="58" spans="1:6">
      <c r="A58" s="1305" t="s">
        <v>48</v>
      </c>
      <c r="B58" s="1305" t="s">
        <v>50</v>
      </c>
      <c r="C58" s="1306">
        <v>29</v>
      </c>
      <c r="D58" s="1306">
        <v>3745156</v>
      </c>
      <c r="E58" s="1306">
        <v>55</v>
      </c>
      <c r="F58" s="1306">
        <v>1928073</v>
      </c>
    </row>
    <row r="59" spans="1:6">
      <c r="A59" s="1305" t="s">
        <v>48</v>
      </c>
      <c r="B59" s="1305" t="s">
        <v>51</v>
      </c>
      <c r="C59" s="1306">
        <v>100</v>
      </c>
      <c r="D59" s="1306">
        <v>5188395</v>
      </c>
      <c r="E59" s="1306">
        <v>258</v>
      </c>
      <c r="F59" s="1306">
        <v>8771255</v>
      </c>
    </row>
    <row r="60" spans="1:6">
      <c r="A60" s="1305" t="s">
        <v>48</v>
      </c>
      <c r="B60" s="1305" t="s">
        <v>52</v>
      </c>
      <c r="C60" s="1306">
        <v>48</v>
      </c>
      <c r="D60" s="1306">
        <v>2544706</v>
      </c>
      <c r="E60" s="1306">
        <v>81</v>
      </c>
      <c r="F60" s="1306">
        <v>2362663</v>
      </c>
    </row>
    <row r="61" spans="1:6">
      <c r="A61" s="1305" t="s">
        <v>48</v>
      </c>
      <c r="B61" s="1305" t="s">
        <v>53</v>
      </c>
      <c r="C61" s="1306">
        <v>117</v>
      </c>
      <c r="D61" s="1306">
        <v>3474639</v>
      </c>
      <c r="E61" s="1306">
        <v>368</v>
      </c>
      <c r="F61" s="1306">
        <v>9238993</v>
      </c>
    </row>
    <row r="62" spans="1:6">
      <c r="A62" s="1305" t="s">
        <v>48</v>
      </c>
      <c r="B62" s="1305" t="s">
        <v>54</v>
      </c>
      <c r="C62" s="1306">
        <v>11</v>
      </c>
      <c r="D62" s="1306">
        <v>1644243</v>
      </c>
      <c r="E62" s="1306">
        <v>19</v>
      </c>
      <c r="F62" s="1306">
        <v>681372</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265920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5</v>
      </c>
      <c r="D68" s="1309">
        <v>224617</v>
      </c>
      <c r="E68" s="1309">
        <v>9</v>
      </c>
      <c r="F68" s="1309">
        <v>160738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93897168</v>
      </c>
      <c r="E73" s="450"/>
      <c r="F73" s="330"/>
    </row>
    <row r="74" spans="1:6">
      <c r="A74" s="1305" t="s">
        <v>63</v>
      </c>
      <c r="B74" s="1305" t="s">
        <v>710</v>
      </c>
      <c r="C74" s="1319" t="s">
        <v>712</v>
      </c>
      <c r="D74" s="1320">
        <v>8490825.4614840411</v>
      </c>
      <c r="E74" s="450"/>
      <c r="F74" s="330"/>
    </row>
    <row r="75" spans="1:6">
      <c r="A75" s="1305" t="s">
        <v>64</v>
      </c>
      <c r="B75" s="1305" t="s">
        <v>709</v>
      </c>
      <c r="C75" s="1319" t="s">
        <v>713</v>
      </c>
      <c r="D75" s="1320">
        <v>18329422</v>
      </c>
      <c r="E75" s="450"/>
      <c r="F75" s="330"/>
    </row>
    <row r="76" spans="1:6">
      <c r="A76" s="1305" t="s">
        <v>64</v>
      </c>
      <c r="B76" s="1305" t="s">
        <v>710</v>
      </c>
      <c r="C76" s="1319" t="s">
        <v>714</v>
      </c>
      <c r="D76" s="1320">
        <v>327754.46148404141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601869.07703191717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5154.6621016897125</v>
      </c>
      <c r="C91" s="330"/>
      <c r="D91" s="330"/>
      <c r="E91" s="330"/>
      <c r="F91" s="330"/>
    </row>
    <row r="92" spans="1:6">
      <c r="A92" s="1300" t="s">
        <v>68</v>
      </c>
      <c r="B92" s="1301">
        <v>4805.8926897490082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913</v>
      </c>
      <c r="C97" s="330"/>
      <c r="D97" s="330"/>
      <c r="E97" s="330"/>
      <c r="F97" s="330"/>
    </row>
    <row r="98" spans="1:6">
      <c r="A98" s="1305" t="s">
        <v>71</v>
      </c>
      <c r="B98" s="1306">
        <v>1</v>
      </c>
      <c r="C98" s="330"/>
      <c r="D98" s="330"/>
      <c r="E98" s="330"/>
      <c r="F98" s="330"/>
    </row>
    <row r="99" spans="1:6">
      <c r="A99" s="1305" t="s">
        <v>72</v>
      </c>
      <c r="B99" s="1306">
        <v>40</v>
      </c>
      <c r="C99" s="330"/>
      <c r="D99" s="330"/>
      <c r="E99" s="330"/>
      <c r="F99" s="330"/>
    </row>
    <row r="100" spans="1:6">
      <c r="A100" s="1305" t="s">
        <v>73</v>
      </c>
      <c r="B100" s="1306">
        <v>210</v>
      </c>
      <c r="C100" s="330"/>
      <c r="D100" s="330"/>
      <c r="E100" s="330"/>
      <c r="F100" s="330"/>
    </row>
    <row r="101" spans="1:6">
      <c r="A101" s="1305" t="s">
        <v>74</v>
      </c>
      <c r="B101" s="1306">
        <v>42</v>
      </c>
      <c r="C101" s="330"/>
      <c r="D101" s="330"/>
      <c r="E101" s="330"/>
      <c r="F101" s="330"/>
    </row>
    <row r="102" spans="1:6">
      <c r="A102" s="1305" t="s">
        <v>75</v>
      </c>
      <c r="B102" s="1306">
        <v>57</v>
      </c>
      <c r="C102" s="330"/>
      <c r="D102" s="330"/>
      <c r="E102" s="330"/>
      <c r="F102" s="330"/>
    </row>
    <row r="103" spans="1:6">
      <c r="A103" s="1305" t="s">
        <v>76</v>
      </c>
      <c r="B103" s="1306">
        <v>93</v>
      </c>
      <c r="C103" s="330"/>
      <c r="D103" s="330"/>
      <c r="E103" s="330"/>
      <c r="F103" s="330"/>
    </row>
    <row r="104" spans="1:6">
      <c r="A104" s="1305" t="s">
        <v>77</v>
      </c>
      <c r="B104" s="1306">
        <v>3845</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30</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153</v>
      </c>
      <c r="C129" s="330"/>
      <c r="D129" s="330"/>
      <c r="E129" s="330"/>
      <c r="F129" s="330"/>
    </row>
    <row r="130" spans="1:6">
      <c r="A130" s="1305" t="s">
        <v>294</v>
      </c>
      <c r="B130" s="1306">
        <v>3</v>
      </c>
      <c r="C130" s="330"/>
      <c r="D130" s="330"/>
      <c r="E130" s="330"/>
      <c r="F130" s="330"/>
    </row>
    <row r="131" spans="1:6">
      <c r="A131" s="1305" t="s">
        <v>295</v>
      </c>
      <c r="B131" s="1306">
        <v>4</v>
      </c>
      <c r="C131" s="330"/>
      <c r="D131" s="330"/>
      <c r="E131" s="330"/>
      <c r="F131" s="330"/>
    </row>
    <row r="132" spans="1:6">
      <c r="A132" s="1300" t="s">
        <v>296</v>
      </c>
      <c r="B132" s="1301">
        <v>24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105228.22962538977</v>
      </c>
      <c r="C3" s="43" t="s">
        <v>169</v>
      </c>
      <c r="D3" s="43"/>
      <c r="E3" s="154"/>
      <c r="F3" s="43"/>
      <c r="G3" s="43"/>
      <c r="H3" s="43"/>
      <c r="I3" s="43"/>
      <c r="J3" s="43"/>
      <c r="K3" s="96"/>
    </row>
    <row r="4" spans="1:11">
      <c r="A4" s="359" t="s">
        <v>170</v>
      </c>
      <c r="B4" s="49">
        <f>IF(ISERROR('SEAP template'!B78+'SEAP template'!C78),0,'SEAP template'!B78+'SEAP template'!C78)</f>
        <v>20834.917291438724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5.3470588235294123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0.17729338553962776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7.6386554621848743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15534.803571428572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4.917123944993936E-4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1173.1420000000001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1173.1420000000001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0.17729338553962776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207.99031689872999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22627.99</v>
      </c>
      <c r="C5" s="17">
        <f>IF(ISERROR('Eigen informatie GS &amp; warmtenet'!B57),0,'Eigen informatie GS &amp; warmtenet'!B57)</f>
        <v>0</v>
      </c>
      <c r="D5" s="30">
        <f>(SUM(HH_hh_gas_kWh,HH_rest_gas_kWh)/1000)*0.902</f>
        <v>40172.910690000004</v>
      </c>
      <c r="E5" s="17">
        <f>B46*B57</f>
        <v>15408.876499934995</v>
      </c>
      <c r="F5" s="17">
        <f>B51*B62</f>
        <v>39959.957700821178</v>
      </c>
      <c r="G5" s="18"/>
      <c r="H5" s="17"/>
      <c r="I5" s="17"/>
      <c r="J5" s="17">
        <f>B50*B61+C50*C61</f>
        <v>0</v>
      </c>
      <c r="K5" s="17"/>
      <c r="L5" s="17"/>
      <c r="M5" s="17"/>
      <c r="N5" s="17">
        <f>B48*B59+C48*C59</f>
        <v>11667.283192428373</v>
      </c>
      <c r="O5" s="17">
        <f>B69*B70*B71</f>
        <v>289.2166666666667</v>
      </c>
      <c r="P5" s="17">
        <f>B77*B78*B79/1000-B77*B78*B79/1000/B80</f>
        <v>629.20000000000005</v>
      </c>
    </row>
    <row r="6" spans="1:16">
      <c r="A6" s="16" t="s">
        <v>630</v>
      </c>
      <c r="B6" s="763">
        <f>kWh_PV_kleiner_dan_10kW</f>
        <v>5154.6621016897125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27782.652101689713</v>
      </c>
      <c r="C8" s="21">
        <f>C5</f>
        <v>0</v>
      </c>
      <c r="D8" s="21">
        <f>D5</f>
        <v>40172.910690000004</v>
      </c>
      <c r="E8" s="21">
        <f>E5</f>
        <v>15408.876499934995</v>
      </c>
      <c r="F8" s="21">
        <f>F5</f>
        <v>39959.957700821178</v>
      </c>
      <c r="G8" s="21"/>
      <c r="H8" s="21"/>
      <c r="I8" s="21"/>
      <c r="J8" s="21">
        <f>J5</f>
        <v>0</v>
      </c>
      <c r="K8" s="21"/>
      <c r="L8" s="21">
        <f>L5</f>
        <v>0</v>
      </c>
      <c r="M8" s="21">
        <f>M5</f>
        <v>0</v>
      </c>
      <c r="N8" s="21">
        <f>N5</f>
        <v>11667.283192428373</v>
      </c>
      <c r="O8" s="21">
        <f>O5</f>
        <v>289.2166666666667</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0.17729338553962776</v>
      </c>
      <c r="C10" s="25">
        <f ca="1">'EF ele_warmte'!B22</f>
        <v>4.917123944993936E-4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4925.6804503782241</v>
      </c>
      <c r="C12" s="23">
        <f ca="1">C10*C8</f>
        <v>0</v>
      </c>
      <c r="D12" s="23">
        <f>D8*D10</f>
        <v>8114.9279593800011</v>
      </c>
      <c r="E12" s="23">
        <f>E10*E8</f>
        <v>3497.8149654852441</v>
      </c>
      <c r="F12" s="23">
        <f>F10*F8</f>
        <v>10669.308706119255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6429</v>
      </c>
      <c r="C28" s="36"/>
      <c r="D28" s="228"/>
    </row>
    <row r="29" spans="1:7" s="15" customFormat="1">
      <c r="A29" s="230" t="s">
        <v>737</v>
      </c>
      <c r="B29" s="37">
        <f>SUM(HH_hh_gas_aantal,HH_rest_gas_aantal)</f>
        <v>3202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3202</v>
      </c>
      <c r="C32" s="167">
        <f>IF(ISERROR(B32/SUM($B$32,$B$34,$B$35,$B$36,$B$38,$B$39)*100),0,B32/SUM($B$32,$B$34,$B$35,$B$36,$B$38,$B$39)*100)</f>
        <v>50.062539086929334</v>
      </c>
      <c r="D32" s="233"/>
      <c r="G32" s="15"/>
    </row>
    <row r="33" spans="1:7">
      <c r="A33" s="171" t="s">
        <v>71</v>
      </c>
      <c r="B33" s="34" t="s">
        <v>110</v>
      </c>
      <c r="C33" s="167"/>
      <c r="D33" s="233"/>
      <c r="G33" s="15"/>
    </row>
    <row r="34" spans="1:7">
      <c r="A34" s="171" t="s">
        <v>72</v>
      </c>
      <c r="B34" s="33">
        <f>IF((($B$28-$B$32-$B$39-$B$77-$B$38)*C20/100)&lt;0,0,($B$28-$B$32-$B$39-$B$77-$B$38)*C20/100)</f>
        <v>193.02739726027394</v>
      </c>
      <c r="C34" s="167">
        <f>IF(ISERROR(B34/SUM($B$32,$B$34,$B$35,$B$36,$B$38,$B$39)*100),0,B34/SUM($B$32,$B$34,$B$35,$B$36,$B$38,$B$39)*100)</f>
        <v>3.0179392942506871</v>
      </c>
      <c r="D34" s="233"/>
      <c r="G34" s="15"/>
    </row>
    <row r="35" spans="1:7">
      <c r="A35" s="171" t="s">
        <v>73</v>
      </c>
      <c r="B35" s="33">
        <f>IF((($B$28-$B$32-$B$39-$B$77-$B$38)*C21/100)&lt;0,0,($B$28-$B$32-$B$39-$B$77-$B$38)*C21/100)</f>
        <v>1013.3938356164383</v>
      </c>
      <c r="C35" s="167">
        <f>IF(ISERROR(B35/SUM($B$32,$B$34,$B$35,$B$36,$B$38,$B$39)*100),0,B35/SUM($B$32,$B$34,$B$35,$B$36,$B$38,$B$39)*100)</f>
        <v>15.84418129481611</v>
      </c>
      <c r="D35" s="233"/>
      <c r="G35" s="15"/>
    </row>
    <row r="36" spans="1:7">
      <c r="A36" s="171" t="s">
        <v>74</v>
      </c>
      <c r="B36" s="33">
        <f>IF((($B$28-$B$32-$B$39-$B$77-$B$38)*C22/100)&lt;0,0,($B$28-$B$32-$B$39-$B$77-$B$38)*C22/100)</f>
        <v>202.67876712328766</v>
      </c>
      <c r="C36" s="167">
        <f>IF(ISERROR(B36/SUM($B$32,$B$34,$B$35,$B$36,$B$38,$B$39)*100),0,B36/SUM($B$32,$B$34,$B$35,$B$36,$B$38,$B$39)*100)</f>
        <v>3.1688362589632217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1784.9</v>
      </c>
      <c r="C39" s="167">
        <f>IF(ISERROR(B39/SUM($B$32,$B$34,$B$35,$B$36,$B$38,$B$39)*100),0,B39/SUM($B$32,$B$34,$B$35,$B$36,$B$38,$B$39)*100)</f>
        <v>27.90650406504065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3202</v>
      </c>
      <c r="C44" s="34" t="s">
        <v>110</v>
      </c>
      <c r="D44" s="174"/>
    </row>
    <row r="45" spans="1:7">
      <c r="A45" s="171" t="s">
        <v>71</v>
      </c>
      <c r="B45" s="33" t="str">
        <f t="shared" si="0"/>
        <v>-</v>
      </c>
      <c r="C45" s="34" t="s">
        <v>110</v>
      </c>
      <c r="D45" s="174"/>
    </row>
    <row r="46" spans="1:7">
      <c r="A46" s="171" t="s">
        <v>72</v>
      </c>
      <c r="B46" s="33">
        <f t="shared" si="0"/>
        <v>193.02739726027394</v>
      </c>
      <c r="C46" s="34" t="s">
        <v>110</v>
      </c>
      <c r="D46" s="174"/>
    </row>
    <row r="47" spans="1:7">
      <c r="A47" s="171" t="s">
        <v>73</v>
      </c>
      <c r="B47" s="33">
        <f t="shared" si="0"/>
        <v>1013.3938356164383</v>
      </c>
      <c r="C47" s="34" t="s">
        <v>110</v>
      </c>
      <c r="D47" s="174"/>
    </row>
    <row r="48" spans="1:7">
      <c r="A48" s="171" t="s">
        <v>74</v>
      </c>
      <c r="B48" s="33">
        <f t="shared" si="0"/>
        <v>202.67876712328766</v>
      </c>
      <c r="C48" s="33">
        <f>B48*10</f>
        <v>2026.7876712328766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1784.9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27644.013999999999</v>
      </c>
      <c r="C5" s="17">
        <f>IF(ISERROR('Eigen informatie GS &amp; warmtenet'!B58),0,'Eigen informatie GS &amp; warmtenet'!B58)</f>
        <v>0</v>
      </c>
      <c r="D5" s="30">
        <f>SUM(D6:D12)</f>
        <v>16327.916506</v>
      </c>
      <c r="E5" s="17">
        <f>SUM(E6:E12)</f>
        <v>238.13691782107597</v>
      </c>
      <c r="F5" s="17">
        <f>SUM(F6:F12)</f>
        <v>4142.8019477347625</v>
      </c>
      <c r="G5" s="18"/>
      <c r="H5" s="17"/>
      <c r="I5" s="17"/>
      <c r="J5" s="17">
        <f>SUM(J6:J12)</f>
        <v>0</v>
      </c>
      <c r="K5" s="17"/>
      <c r="L5" s="17"/>
      <c r="M5" s="17"/>
      <c r="N5" s="17">
        <f>SUM(N6:N12)</f>
        <v>3464.1873214359575</v>
      </c>
      <c r="O5" s="17">
        <f>B38*B39*B40</f>
        <v>4.6900000000000004</v>
      </c>
      <c r="P5" s="17">
        <f>B46*B47*B48/1000-B46*B47*B48/1000/B49</f>
        <v>76.266666666666666</v>
      </c>
      <c r="R5" s="32"/>
    </row>
    <row r="6" spans="1:18">
      <c r="A6" s="32" t="s">
        <v>53</v>
      </c>
      <c r="B6" s="37">
        <f>B26</f>
        <v>9238.9930000000004</v>
      </c>
      <c r="C6" s="33"/>
      <c r="D6" s="37">
        <f>IF(ISERROR(TER_kantoor_gas_kWh/1000),0,TER_kantoor_gas_kWh/1000)*0.902</f>
        <v>3134.124378</v>
      </c>
      <c r="E6" s="33">
        <f>$C$26*'E Balans VL '!I12/100/3.6*1000000</f>
        <v>26.766718273480414</v>
      </c>
      <c r="F6" s="33">
        <f>$C$26*('E Balans VL '!L12+'E Balans VL '!N12)/100/3.6*1000000</f>
        <v>1045.6504568024395</v>
      </c>
      <c r="G6" s="34"/>
      <c r="H6" s="33"/>
      <c r="I6" s="33"/>
      <c r="J6" s="33">
        <f>$C$26*('E Balans VL '!D12+'E Balans VL '!E12)/100/3.6*1000000</f>
        <v>0</v>
      </c>
      <c r="K6" s="33"/>
      <c r="L6" s="33"/>
      <c r="M6" s="33"/>
      <c r="N6" s="33">
        <f>$C$26*'E Balans VL '!Y12/100/3.6*1000000</f>
        <v>92.475512336006943</v>
      </c>
      <c r="O6" s="33"/>
      <c r="P6" s="33"/>
      <c r="R6" s="32"/>
    </row>
    <row r="7" spans="1:18">
      <c r="A7" s="32" t="s">
        <v>52</v>
      </c>
      <c r="B7" s="37">
        <f t="shared" ref="B7:B12" si="0">B27</f>
        <v>2362.663</v>
      </c>
      <c r="C7" s="33"/>
      <c r="D7" s="37">
        <f>IF(ISERROR(TER_horeca_gas_kWh/1000),0,TER_horeca_gas_kWh/1000)*0.902</f>
        <v>2295.3248120000003</v>
      </c>
      <c r="E7" s="33">
        <f>$C$27*'E Balans VL '!I9/100/3.6*1000000</f>
        <v>99.177991590042041</v>
      </c>
      <c r="F7" s="33">
        <f>$C$27*('E Balans VL '!L9+'E Balans VL '!N9)/100/3.6*1000000</f>
        <v>507.66659651806998</v>
      </c>
      <c r="G7" s="34"/>
      <c r="H7" s="33"/>
      <c r="I7" s="33"/>
      <c r="J7" s="33">
        <f>$C$27*('E Balans VL '!D9+'E Balans VL '!E9)/100/3.6*1000000</f>
        <v>0</v>
      </c>
      <c r="K7" s="33"/>
      <c r="L7" s="33"/>
      <c r="M7" s="33"/>
      <c r="N7" s="33">
        <f>$C$27*'E Balans VL '!Y9/100/3.6*1000000</f>
        <v>0.60883759286249473</v>
      </c>
      <c r="O7" s="33"/>
      <c r="P7" s="33"/>
      <c r="R7" s="32"/>
    </row>
    <row r="8" spans="1:18">
      <c r="A8" s="6" t="s">
        <v>51</v>
      </c>
      <c r="B8" s="37">
        <f t="shared" si="0"/>
        <v>8771.2549999999992</v>
      </c>
      <c r="C8" s="33"/>
      <c r="D8" s="37">
        <f>IF(ISERROR(TER_handel_gas_kWh/1000),0,TER_handel_gas_kWh/1000)*0.902</f>
        <v>4679.9322900000006</v>
      </c>
      <c r="E8" s="33">
        <f>$C$28*'E Balans VL '!I13/100/3.6*1000000</f>
        <v>94.210578808019321</v>
      </c>
      <c r="F8" s="33">
        <f>$C$28*('E Balans VL '!L13+'E Balans VL '!N13)/100/3.6*1000000</f>
        <v>1135.5113912806289</v>
      </c>
      <c r="G8" s="34"/>
      <c r="H8" s="33"/>
      <c r="I8" s="33"/>
      <c r="J8" s="33">
        <f>$C$28*('E Balans VL '!D13+'E Balans VL '!E13)/100/3.6*1000000</f>
        <v>0</v>
      </c>
      <c r="K8" s="33"/>
      <c r="L8" s="33"/>
      <c r="M8" s="33"/>
      <c r="N8" s="33">
        <f>$C$28*'E Balans VL '!Y13/100/3.6*1000000</f>
        <v>71.152899491346687</v>
      </c>
      <c r="O8" s="33"/>
      <c r="P8" s="33"/>
      <c r="R8" s="32"/>
    </row>
    <row r="9" spans="1:18">
      <c r="A9" s="32" t="s">
        <v>50</v>
      </c>
      <c r="B9" s="37">
        <f t="shared" si="0"/>
        <v>1928.0730000000001</v>
      </c>
      <c r="C9" s="33"/>
      <c r="D9" s="37">
        <f>IF(ISERROR(TER_gezond_gas_kWh/1000),0,TER_gezond_gas_kWh/1000)*0.902</f>
        <v>3378.1307120000001</v>
      </c>
      <c r="E9" s="33">
        <f>$C$29*'E Balans VL '!I10/100/3.6*1000000</f>
        <v>1.5348708124207098</v>
      </c>
      <c r="F9" s="33">
        <f>$C$29*('E Balans VL '!L10+'E Balans VL '!N10)/100/3.6*1000000</f>
        <v>234.38513631449655</v>
      </c>
      <c r="G9" s="34"/>
      <c r="H9" s="33"/>
      <c r="I9" s="33"/>
      <c r="J9" s="33">
        <f>$C$29*('E Balans VL '!D10+'E Balans VL '!E10)/100/3.6*1000000</f>
        <v>0</v>
      </c>
      <c r="K9" s="33"/>
      <c r="L9" s="33"/>
      <c r="M9" s="33"/>
      <c r="N9" s="33">
        <f>$C$29*'E Balans VL '!Y10/100/3.6*1000000</f>
        <v>15.57446288462072</v>
      </c>
      <c r="O9" s="33"/>
      <c r="P9" s="33"/>
      <c r="R9" s="32"/>
    </row>
    <row r="10" spans="1:18">
      <c r="A10" s="32" t="s">
        <v>49</v>
      </c>
      <c r="B10" s="37">
        <f t="shared" si="0"/>
        <v>4661.6580000000004</v>
      </c>
      <c r="C10" s="33"/>
      <c r="D10" s="37">
        <f>IF(ISERROR(TER_ander_gas_kWh/1000),0,TER_ander_gas_kWh/1000)*0.902</f>
        <v>1357.2971279999999</v>
      </c>
      <c r="E10" s="33">
        <f>$C$30*'E Balans VL '!I14/100/3.6*1000000</f>
        <v>15.975746858119589</v>
      </c>
      <c r="F10" s="33">
        <f>$C$30*('E Balans VL '!L14+'E Balans VL '!N14)/100/3.6*1000000</f>
        <v>1041.2249697327729</v>
      </c>
      <c r="G10" s="34"/>
      <c r="H10" s="33"/>
      <c r="I10" s="33"/>
      <c r="J10" s="33">
        <f>$C$30*('E Balans VL '!D14+'E Balans VL '!E14)/100/3.6*1000000</f>
        <v>0</v>
      </c>
      <c r="K10" s="33"/>
      <c r="L10" s="33"/>
      <c r="M10" s="33"/>
      <c r="N10" s="33">
        <f>$C$30*'E Balans VL '!Y14/100/3.6*1000000</f>
        <v>3283.6973613398604</v>
      </c>
      <c r="O10" s="33"/>
      <c r="P10" s="33"/>
      <c r="R10" s="32"/>
    </row>
    <row r="11" spans="1:18">
      <c r="A11" s="32" t="s">
        <v>54</v>
      </c>
      <c r="B11" s="37">
        <f t="shared" si="0"/>
        <v>681.37199999999996</v>
      </c>
      <c r="C11" s="33"/>
      <c r="D11" s="37">
        <f>IF(ISERROR(TER_onderwijs_gas_kWh/1000),0,TER_onderwijs_gas_kWh/1000)*0.902</f>
        <v>1483.107186</v>
      </c>
      <c r="E11" s="33">
        <f>$C$31*'E Balans VL '!I11/100/3.6*1000000</f>
        <v>0.4710114789939146</v>
      </c>
      <c r="F11" s="33">
        <f>$C$31*('E Balans VL '!L11+'E Balans VL '!N11)/100/3.6*1000000</f>
        <v>178.36339708635433</v>
      </c>
      <c r="G11" s="34"/>
      <c r="H11" s="33"/>
      <c r="I11" s="33"/>
      <c r="J11" s="33">
        <f>$C$31*('E Balans VL '!D11+'E Balans VL '!E11)/100/3.6*1000000</f>
        <v>0</v>
      </c>
      <c r="K11" s="33"/>
      <c r="L11" s="33"/>
      <c r="M11" s="33"/>
      <c r="N11" s="33">
        <f>$C$31*'E Balans VL '!Y11/100/3.6*1000000</f>
        <v>0.67824779126022916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energieproductie'!N42+'lokale energieproductie'!N35</f>
        <v>22.5</v>
      </c>
      <c r="C13" s="247">
        <f ca="1">'lokale energieproductie'!O42+'lokale energieproductie'!O35</f>
        <v>32.142857142857146</v>
      </c>
      <c r="D13" s="308">
        <f ca="1">('lokale energieproductie'!P35+'lokale energieproductie'!P42)*(-1)</f>
        <v>-64.285714285714292</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27666.513999999999</v>
      </c>
      <c r="C16" s="21">
        <f t="shared" ca="1" si="1"/>
        <v>32.142857142857146</v>
      </c>
      <c r="D16" s="21">
        <f t="shared" ca="1" si="1"/>
        <v>16263.630791714286</v>
      </c>
      <c r="E16" s="21">
        <f t="shared" si="1"/>
        <v>238.13691782107597</v>
      </c>
      <c r="F16" s="21">
        <f t="shared" ca="1" si="1"/>
        <v>4142.8019477347625</v>
      </c>
      <c r="G16" s="21">
        <f t="shared" si="1"/>
        <v>0</v>
      </c>
      <c r="H16" s="21">
        <f t="shared" si="1"/>
        <v>0</v>
      </c>
      <c r="I16" s="21">
        <f t="shared" si="1"/>
        <v>0</v>
      </c>
      <c r="J16" s="21">
        <f t="shared" si="1"/>
        <v>0</v>
      </c>
      <c r="K16" s="21">
        <f t="shared" si="1"/>
        <v>0</v>
      </c>
      <c r="L16" s="21">
        <f t="shared" ca="1" si="1"/>
        <v>0</v>
      </c>
      <c r="M16" s="21">
        <f t="shared" si="1"/>
        <v>0</v>
      </c>
      <c r="N16" s="21">
        <f t="shared" ca="1" si="1"/>
        <v>3464.1873214359575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0.17729338553962776</v>
      </c>
      <c r="C18" s="25">
        <f ca="1">'EF ele_warmte'!B22</f>
        <v>4.917123944993936E-4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4905.0899331395085</v>
      </c>
      <c r="C20" s="23">
        <f t="shared" ref="C20:P20" ca="1" si="2">C16*C18</f>
        <v>1.5805041251766225E-2</v>
      </c>
      <c r="D20" s="23">
        <f t="shared" ca="1" si="2"/>
        <v>3285.2534199262859</v>
      </c>
      <c r="E20" s="23">
        <f t="shared" si="2"/>
        <v>54.05708034538425</v>
      </c>
      <c r="F20" s="23">
        <f t="shared" ca="1" si="2"/>
        <v>1106.1281200451817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9238.9930000000004</v>
      </c>
      <c r="C26" s="39">
        <f>IF(ISERROR(B26*3.6/1000000/'E Balans VL '!Z12*100),0,B26*3.6/1000000/'E Balans VL '!Z12*100)</f>
        <v>0.20294516259050854</v>
      </c>
      <c r="D26" s="237" t="s">
        <v>691</v>
      </c>
      <c r="F26" s="6"/>
    </row>
    <row r="27" spans="1:18">
      <c r="A27" s="231" t="s">
        <v>52</v>
      </c>
      <c r="B27" s="33">
        <f>IF(ISERROR(TER_horeca_ele_kWh/1000),0,TER_horeca_ele_kWh/1000)</f>
        <v>2362.663</v>
      </c>
      <c r="C27" s="39">
        <f>IF(ISERROR(B27*3.6/1000000/'E Balans VL '!Z9*100),0,B27*3.6/1000000/'E Balans VL '!Z9*100)</f>
        <v>0.18986352335295034</v>
      </c>
      <c r="D27" s="237" t="s">
        <v>691</v>
      </c>
      <c r="F27" s="6"/>
    </row>
    <row r="28" spans="1:18">
      <c r="A28" s="171" t="s">
        <v>51</v>
      </c>
      <c r="B28" s="33">
        <f>IF(ISERROR(TER_handel_ele_kWh/1000),0,TER_handel_ele_kWh/1000)</f>
        <v>8771.2549999999992</v>
      </c>
      <c r="C28" s="39">
        <f>IF(ISERROR(B28*3.6/1000000/'E Balans VL '!Z13*100),0,B28*3.6/1000000/'E Balans VL '!Z13*100)</f>
        <v>0.25935988262259568</v>
      </c>
      <c r="D28" s="237" t="s">
        <v>691</v>
      </c>
      <c r="F28" s="6"/>
    </row>
    <row r="29" spans="1:18">
      <c r="A29" s="231" t="s">
        <v>50</v>
      </c>
      <c r="B29" s="33">
        <f>IF(ISERROR(TER_gezond_ele_kWh/1000),0,TER_gezond_ele_kWh/1000)</f>
        <v>1928.0730000000001</v>
      </c>
      <c r="C29" s="39">
        <f>IF(ISERROR(B29*3.6/1000000/'E Balans VL '!Z10*100),0,B29*3.6/1000000/'E Balans VL '!Z10*100)</f>
        <v>0.21724404864312208</v>
      </c>
      <c r="D29" s="237" t="s">
        <v>691</v>
      </c>
      <c r="F29" s="6"/>
    </row>
    <row r="30" spans="1:18">
      <c r="A30" s="231" t="s">
        <v>49</v>
      </c>
      <c r="B30" s="33">
        <f>IF(ISERROR(TER_ander_ele_kWh/1000),0,TER_ander_ele_kWh/1000)</f>
        <v>4661.6580000000004</v>
      </c>
      <c r="C30" s="39">
        <f>IF(ISERROR(B30*3.6/1000000/'E Balans VL '!Z14*100),0,B30*3.6/1000000/'E Balans VL '!Z14*100)</f>
        <v>0.35255322579559767</v>
      </c>
      <c r="D30" s="237" t="s">
        <v>691</v>
      </c>
      <c r="F30" s="6"/>
    </row>
    <row r="31" spans="1:18">
      <c r="A31" s="231" t="s">
        <v>54</v>
      </c>
      <c r="B31" s="33">
        <f>IF(ISERROR(TER_onderwijs_ele_kWh/1000),0,TER_onderwijs_ele_kWh/1000)</f>
        <v>681.37199999999996</v>
      </c>
      <c r="C31" s="39">
        <f>IF(ISERROR(B31*3.6/1000000/'E Balans VL '!Z11*100),0,B31*3.6/1000000/'E Balans VL '!Z11*100)</f>
        <v>0.14143700982806651</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42200.01400000001</v>
      </c>
      <c r="C5" s="17">
        <f>IF(ISERROR('Eigen informatie GS &amp; warmtenet'!B59),0,'Eigen informatie GS &amp; warmtenet'!B59)</f>
        <v>0</v>
      </c>
      <c r="D5" s="30">
        <f>SUM(D6:D15)</f>
        <v>116893.97200800001</v>
      </c>
      <c r="E5" s="17">
        <f>SUM(E6:E15)</f>
        <v>2021.0125940080702</v>
      </c>
      <c r="F5" s="17">
        <f>SUM(F6:F15)</f>
        <v>58362.593846165561</v>
      </c>
      <c r="G5" s="18"/>
      <c r="H5" s="17"/>
      <c r="I5" s="17"/>
      <c r="J5" s="17">
        <f>SUM(J6:J15)</f>
        <v>650.37937505089792</v>
      </c>
      <c r="K5" s="17"/>
      <c r="L5" s="17"/>
      <c r="M5" s="17"/>
      <c r="N5" s="17">
        <f>SUM(N6:N15)</f>
        <v>14984.46799098699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8518.5709999999999</v>
      </c>
      <c r="C8" s="33"/>
      <c r="D8" s="37">
        <f>IF( ISERROR(IND_metaal_Gas_kWH/1000),0,IND_metaal_Gas_kWH/1000)*0.902</f>
        <v>2244.438482</v>
      </c>
      <c r="E8" s="33">
        <f>C30*'E Balans VL '!I18/100/3.6*1000000</f>
        <v>213.19001777023101</v>
      </c>
      <c r="F8" s="33">
        <f>C30*'E Balans VL '!L18/100/3.6*1000000+C30*'E Balans VL '!N18/100/3.6*1000000</f>
        <v>2669.7625249513394</v>
      </c>
      <c r="G8" s="34"/>
      <c r="H8" s="33"/>
      <c r="I8" s="33"/>
      <c r="J8" s="40">
        <f>C30*'E Balans VL '!D18/100/3.6*1000000+C30*'E Balans VL '!E18/100/3.6*1000000</f>
        <v>0</v>
      </c>
      <c r="K8" s="33"/>
      <c r="L8" s="33"/>
      <c r="M8" s="33"/>
      <c r="N8" s="33">
        <f>C30*'E Balans VL '!Y18/100/3.6*1000000</f>
        <v>214.00861113954431</v>
      </c>
      <c r="O8" s="33"/>
      <c r="P8" s="33"/>
      <c r="R8" s="32"/>
    </row>
    <row r="9" spans="1:18">
      <c r="A9" s="6" t="s">
        <v>32</v>
      </c>
      <c r="B9" s="37">
        <f t="shared" si="0"/>
        <v>5547.3850000000002</v>
      </c>
      <c r="C9" s="33"/>
      <c r="D9" s="37">
        <f>IF( ISERROR(IND_andere_gas_kWh/1000),0,IND_andere_gas_kWh/1000)*0.902</f>
        <v>1656.107178</v>
      </c>
      <c r="E9" s="33">
        <f>C31*'E Balans VL '!I19/100/3.6*1000000</f>
        <v>1525.3033486958227</v>
      </c>
      <c r="F9" s="33">
        <f>C31*'E Balans VL '!L19/100/3.6*1000000+C31*'E Balans VL '!N19/100/3.6*1000000</f>
        <v>4372.3046942975971</v>
      </c>
      <c r="G9" s="34"/>
      <c r="H9" s="33"/>
      <c r="I9" s="33"/>
      <c r="J9" s="40">
        <f>C31*'E Balans VL '!D19/100/3.6*1000000+C31*'E Balans VL '!E19/100/3.6*1000000</f>
        <v>0</v>
      </c>
      <c r="K9" s="33"/>
      <c r="L9" s="33"/>
      <c r="M9" s="33"/>
      <c r="N9" s="33">
        <f>C31*'E Balans VL '!Y19/100/3.6*1000000</f>
        <v>446.9008313150191</v>
      </c>
      <c r="O9" s="33"/>
      <c r="P9" s="33"/>
      <c r="R9" s="32"/>
    </row>
    <row r="10" spans="1:18">
      <c r="A10" s="6" t="s">
        <v>40</v>
      </c>
      <c r="B10" s="37">
        <f t="shared" si="0"/>
        <v>27142.425999999999</v>
      </c>
      <c r="C10" s="33"/>
      <c r="D10" s="37">
        <f>IF( ISERROR(IND_voed_gas_kWh/1000),0,IND_voed_gas_kWh/1000)*0.902</f>
        <v>111466.608242</v>
      </c>
      <c r="E10" s="33">
        <f>C32*'E Balans VL '!I20/100/3.6*1000000</f>
        <v>276.70208022219538</v>
      </c>
      <c r="F10" s="33">
        <f>C32*'E Balans VL '!L20/100/3.6*1000000+C32*'E Balans VL '!N20/100/3.6*1000000</f>
        <v>51271.872954512422</v>
      </c>
      <c r="G10" s="34"/>
      <c r="H10" s="33"/>
      <c r="I10" s="33"/>
      <c r="J10" s="40">
        <f>C32*'E Balans VL '!D20/100/3.6*1000000+C32*'E Balans VL '!E20/100/3.6*1000000</f>
        <v>649.60706459995208</v>
      </c>
      <c r="K10" s="33"/>
      <c r="L10" s="33"/>
      <c r="M10" s="33"/>
      <c r="N10" s="33">
        <f>C32*'E Balans VL '!Y20/100/3.6*1000000</f>
        <v>14307.184926101929</v>
      </c>
      <c r="O10" s="33"/>
      <c r="P10" s="33"/>
      <c r="R10" s="32"/>
    </row>
    <row r="11" spans="1:18">
      <c r="A11" s="6" t="s">
        <v>39</v>
      </c>
      <c r="B11" s="37">
        <f t="shared" si="0"/>
        <v>468.12400000000002</v>
      </c>
      <c r="C11" s="33"/>
      <c r="D11" s="37">
        <f>IF( ISERROR(IND_textiel_gas_kWh/1000),0,IND_textiel_gas_kWh/1000)*0.902</f>
        <v>1282.8424400000001</v>
      </c>
      <c r="E11" s="33">
        <f>C33*'E Balans VL '!I21/100/3.6*1000000</f>
        <v>1.2407576144541115</v>
      </c>
      <c r="F11" s="33">
        <f>C33*'E Balans VL '!L21/100/3.6*1000000+C33*'E Balans VL '!N21/100/3.6*1000000</f>
        <v>20.906900745864121</v>
      </c>
      <c r="G11" s="34"/>
      <c r="H11" s="33"/>
      <c r="I11" s="33"/>
      <c r="J11" s="40">
        <f>C33*'E Balans VL '!D21/100/3.6*1000000+C33*'E Balans VL '!E21/100/3.6*1000000</f>
        <v>0</v>
      </c>
      <c r="K11" s="33"/>
      <c r="L11" s="33"/>
      <c r="M11" s="33"/>
      <c r="N11" s="33">
        <f>C33*'E Balans VL '!Y21/100/3.6*1000000</f>
        <v>4.4117340652517862</v>
      </c>
      <c r="O11" s="33"/>
      <c r="P11" s="33"/>
      <c r="R11" s="32"/>
    </row>
    <row r="12" spans="1:18">
      <c r="A12" s="6" t="s">
        <v>36</v>
      </c>
      <c r="B12" s="37">
        <f t="shared" si="0"/>
        <v>337.10300000000001</v>
      </c>
      <c r="C12" s="33"/>
      <c r="D12" s="37">
        <f>IF( ISERROR(IND_min_gas_kWh/1000),0,IND_min_gas_kWh/1000)*0.902</f>
        <v>86.300654000000009</v>
      </c>
      <c r="E12" s="33">
        <f>C34*'E Balans VL '!I22/100/3.6*1000000</f>
        <v>1.0209324974692708</v>
      </c>
      <c r="F12" s="33">
        <f>C34*'E Balans VL '!L22/100/3.6*1000000+C34*'E Balans VL '!N22/100/3.6*1000000</f>
        <v>10.534758569620205</v>
      </c>
      <c r="G12" s="34"/>
      <c r="H12" s="33"/>
      <c r="I12" s="33"/>
      <c r="J12" s="40">
        <f>C34*'E Balans VL '!D22/100/3.6*1000000+C34*'E Balans VL '!E22/100/3.6*1000000</f>
        <v>0.4998489159900727</v>
      </c>
      <c r="K12" s="33"/>
      <c r="L12" s="33"/>
      <c r="M12" s="33"/>
      <c r="N12" s="33">
        <f>C34*'E Balans VL '!Y22/100/3.6*1000000</f>
        <v>0</v>
      </c>
      <c r="O12" s="33"/>
      <c r="P12" s="33"/>
      <c r="R12" s="32"/>
    </row>
    <row r="13" spans="1:18">
      <c r="A13" s="6" t="s">
        <v>38</v>
      </c>
      <c r="B13" s="37">
        <f t="shared" si="0"/>
        <v>121.461</v>
      </c>
      <c r="C13" s="33"/>
      <c r="D13" s="37">
        <f>IF( ISERROR(IND_papier_gas_kWh/1000),0,IND_papier_gas_kWh/1000)*0.902</f>
        <v>157.67501200000001</v>
      </c>
      <c r="E13" s="33">
        <f>C35*'E Balans VL '!I23/100/3.6*1000000</f>
        <v>0.25155392942008553</v>
      </c>
      <c r="F13" s="33">
        <f>C35*'E Balans VL '!L23/100/3.6*1000000+C35*'E Balans VL '!N23/100/3.6*1000000</f>
        <v>2.4088320216878656</v>
      </c>
      <c r="G13" s="34"/>
      <c r="H13" s="33"/>
      <c r="I13" s="33"/>
      <c r="J13" s="40">
        <f>C35*'E Balans VL '!D23/100/3.6*1000000+C35*'E Balans VL '!E23/100/3.6*1000000</f>
        <v>0</v>
      </c>
      <c r="K13" s="33"/>
      <c r="L13" s="33"/>
      <c r="M13" s="33"/>
      <c r="N13" s="33">
        <f>C35*'E Balans VL '!Y23/100/3.6*1000000</f>
        <v>8.4239342803174395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64.944000000000003</v>
      </c>
      <c r="C15" s="33"/>
      <c r="D15" s="37">
        <f>IF( ISERROR(IND_rest_gas_kWh/1000),0,IND_rest_gas_kWh/1000)*0.902</f>
        <v>0</v>
      </c>
      <c r="E15" s="33">
        <f>C37*'E Balans VL '!I15/100/3.6*1000000</f>
        <v>3.3039032784778217</v>
      </c>
      <c r="F15" s="33">
        <f>C37*'E Balans VL '!L15/100/3.6*1000000+C37*'E Balans VL '!N15/100/3.6*1000000</f>
        <v>14.803181067024379</v>
      </c>
      <c r="G15" s="34"/>
      <c r="H15" s="33"/>
      <c r="I15" s="33"/>
      <c r="J15" s="40">
        <f>C37*'E Balans VL '!D15/100/3.6*1000000+C37*'E Balans VL '!E15/100/3.6*1000000</f>
        <v>0.27246153495565489</v>
      </c>
      <c r="K15" s="33"/>
      <c r="L15" s="33"/>
      <c r="M15" s="33"/>
      <c r="N15" s="33">
        <f>C37*'E Balans VL '!Y15/100/3.6*1000000</f>
        <v>3.5379540849274291</v>
      </c>
      <c r="O15" s="33"/>
      <c r="P15" s="33"/>
      <c r="R15" s="32"/>
    </row>
    <row r="16" spans="1:18">
      <c r="A16" s="16" t="s">
        <v>493</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42200.01400000001</v>
      </c>
      <c r="C18" s="21">
        <f>C5+C16</f>
        <v>0</v>
      </c>
      <c r="D18" s="21">
        <f>MAX((D5+D16),0)</f>
        <v>116893.97200800001</v>
      </c>
      <c r="E18" s="21">
        <f>MAX((E5+E16),0)</f>
        <v>2021.0125940080702</v>
      </c>
      <c r="F18" s="21">
        <f>MAX((F5+F16),0)</f>
        <v>58362.593846165561</v>
      </c>
      <c r="G18" s="21"/>
      <c r="H18" s="21"/>
      <c r="I18" s="21"/>
      <c r="J18" s="21">
        <f>MAX((J5+J16),0)</f>
        <v>650.37937505089792</v>
      </c>
      <c r="K18" s="21"/>
      <c r="L18" s="21">
        <f>MAX((L5+L16),0)</f>
        <v>0</v>
      </c>
      <c r="M18" s="21"/>
      <c r="N18" s="21">
        <f>MAX((N5+N16),0)</f>
        <v>14984.46799098699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0.17729338553962776</v>
      </c>
      <c r="C20" s="25">
        <f ca="1">'EF ele_warmte'!B22</f>
        <v>4.917123944993936E-4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7481.7833518796906</v>
      </c>
      <c r="C22" s="23">
        <f ca="1">C18*C20</f>
        <v>0</v>
      </c>
      <c r="D22" s="23">
        <f>D18*D20</f>
        <v>23612.582345616003</v>
      </c>
      <c r="E22" s="23">
        <f>E18*E20</f>
        <v>458.76985883983195</v>
      </c>
      <c r="F22" s="23">
        <f>F18*F20</f>
        <v>15582.812556926205</v>
      </c>
      <c r="G22" s="23"/>
      <c r="H22" s="23"/>
      <c r="I22" s="23"/>
      <c r="J22" s="23">
        <f>J18*J20</f>
        <v>230.23429876801785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8518.5709999999999</v>
      </c>
      <c r="C30" s="39">
        <f>IF(ISERROR(B30*3.6/1000000/'E Balans VL '!Z18*100),0,B30*3.6/1000000/'E Balans VL '!Z18*100)</f>
        <v>1.1923160554852661</v>
      </c>
      <c r="D30" s="237" t="s">
        <v>691</v>
      </c>
    </row>
    <row r="31" spans="1:18">
      <c r="A31" s="6" t="s">
        <v>32</v>
      </c>
      <c r="B31" s="37">
        <f>IF( ISERROR(IND_ander_ele_kWh/1000),0,IND_ander_ele_kWh/1000)</f>
        <v>5547.3850000000002</v>
      </c>
      <c r="C31" s="39">
        <f>IF(ISERROR(B31*3.6/1000000/'E Balans VL '!Z19*100),0,B31*3.6/1000000/'E Balans VL '!Z19*100)</f>
        <v>0.24280814153629834</v>
      </c>
      <c r="D31" s="237" t="s">
        <v>691</v>
      </c>
    </row>
    <row r="32" spans="1:18">
      <c r="A32" s="171" t="s">
        <v>40</v>
      </c>
      <c r="B32" s="37">
        <f>IF( ISERROR(IND_voed_ele_kWh/1000),0,IND_voed_ele_kWh/1000)</f>
        <v>27142.425999999999</v>
      </c>
      <c r="C32" s="39">
        <f>IF(ISERROR(B32*3.6/1000000/'E Balans VL '!Z20*100),0,B32*3.6/1000000/'E Balans VL '!Z20*100)</f>
        <v>6.7195633220923341</v>
      </c>
      <c r="D32" s="237" t="s">
        <v>691</v>
      </c>
    </row>
    <row r="33" spans="1:5">
      <c r="A33" s="171" t="s">
        <v>39</v>
      </c>
      <c r="B33" s="37">
        <f>IF( ISERROR(IND_textiel_ele_kWh/1000),0,IND_textiel_ele_kWh/1000)</f>
        <v>468.12400000000002</v>
      </c>
      <c r="C33" s="39">
        <f>IF(ISERROR(B33*3.6/1000000/'E Balans VL '!Z21*100),0,B33*3.6/1000000/'E Balans VL '!Z21*100)</f>
        <v>5.274932871976868E-2</v>
      </c>
      <c r="D33" s="237" t="s">
        <v>691</v>
      </c>
    </row>
    <row r="34" spans="1:5">
      <c r="A34" s="171" t="s">
        <v>36</v>
      </c>
      <c r="B34" s="37">
        <f>IF( ISERROR(IND_min_ele_kWh/1000),0,IND_min_ele_kWh/1000)</f>
        <v>337.10300000000001</v>
      </c>
      <c r="C34" s="39">
        <f>IF(ISERROR(B34*3.6/1000000/'E Balans VL '!Z22*100),0,B34*3.6/1000000/'E Balans VL '!Z22*100)</f>
        <v>9.5656078336750893E-3</v>
      </c>
      <c r="D34" s="237" t="s">
        <v>691</v>
      </c>
    </row>
    <row r="35" spans="1:5">
      <c r="A35" s="171" t="s">
        <v>38</v>
      </c>
      <c r="B35" s="37">
        <f>IF( ISERROR(IND_papier_ele_kWh/1000),0,IND_papier_ele_kWh/1000)</f>
        <v>121.461</v>
      </c>
      <c r="C35" s="39">
        <f>IF(ISERROR(B35*3.6/1000000/'E Balans VL '!Z22*100),0,B35*3.6/1000000/'E Balans VL '!Z22*100)</f>
        <v>3.4465676457522184E-3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64.944000000000003</v>
      </c>
      <c r="C37" s="39">
        <f>IF(ISERROR(B37*3.6/1000000/'E Balans VL '!Z15*100),0,B37*3.6/1000000/'E Balans VL '!Z15*100)</f>
        <v>4.8154864111668838E-4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5721.0829999999996</v>
      </c>
      <c r="C5" s="17">
        <f>'Eigen informatie GS &amp; warmtenet'!B60</f>
        <v>0</v>
      </c>
      <c r="D5" s="30">
        <f>IF(ISERROR(SUM(LB_lb_gas_kWh,LB_rest_gas_kWh)/1000),0,SUM(LB_lb_gas_kWh,LB_rest_gas_kWh)/1000)*0.902</f>
        <v>4769.9726360000004</v>
      </c>
      <c r="E5" s="17">
        <f>B17*'E Balans VL '!I25/3.6*1000000/100</f>
        <v>52.991066955824614</v>
      </c>
      <c r="F5" s="17">
        <f>B17*('E Balans VL '!L25/3.6*1000000+'E Balans VL '!N25/3.6*1000000)/100</f>
        <v>14515.477436193059</v>
      </c>
      <c r="G5" s="18"/>
      <c r="H5" s="17"/>
      <c r="I5" s="17"/>
      <c r="J5" s="17">
        <f>('E Balans VL '!D25+'E Balans VL '!E25)/3.6*1000000*landbouw!B17/100</f>
        <v>877.10587137262496</v>
      </c>
      <c r="K5" s="17"/>
      <c r="L5" s="17">
        <f>L6*(-1)</f>
        <v>0</v>
      </c>
      <c r="M5" s="17"/>
      <c r="N5" s="17">
        <f>N6*(-1)</f>
        <v>31005.321428571435</v>
      </c>
      <c r="O5" s="17"/>
      <c r="P5" s="17"/>
      <c r="R5" s="32"/>
    </row>
    <row r="6" spans="1:18">
      <c r="A6" s="16" t="s">
        <v>493</v>
      </c>
      <c r="B6" s="17" t="s">
        <v>210</v>
      </c>
      <c r="C6" s="17">
        <f>'lokale energieproductie'!O43+'lokale energieproductie'!O36</f>
        <v>15502.660714285716</v>
      </c>
      <c r="D6" s="308">
        <f>('lokale energieproductie'!P36+'lokale energieproductie'!P43)*(-1)</f>
        <v>0</v>
      </c>
      <c r="E6" s="248"/>
      <c r="F6" s="308">
        <f>('lokale energieproductie'!S36+'lokale energieproductie'!S872)*(-1)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-31005.321428571435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5721.0829999999996</v>
      </c>
      <c r="C8" s="21">
        <f>C5+C6</f>
        <v>15502.660714285716</v>
      </c>
      <c r="D8" s="21">
        <f>MAX((D5+D6),0)</f>
        <v>4769.9726360000004</v>
      </c>
      <c r="E8" s="21">
        <f>MAX((E5+E6),0)</f>
        <v>52.991066955824614</v>
      </c>
      <c r="F8" s="21">
        <f>MAX((F5+F6),0)</f>
        <v>14515.477436193059</v>
      </c>
      <c r="G8" s="21"/>
      <c r="H8" s="21"/>
      <c r="I8" s="21"/>
      <c r="J8" s="21">
        <f>MAX((J5+J6),0)</f>
        <v>877.10587137262496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0.17729338553962776</v>
      </c>
      <c r="C10" s="31">
        <f ca="1">'EF ele_warmte'!B22</f>
        <v>4.917123944993936E-4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1014.3101740232102</v>
      </c>
      <c r="C12" s="23">
        <f ca="1">C8*C10</f>
        <v>7.6228504209331085</v>
      </c>
      <c r="D12" s="23">
        <f>D8*D10</f>
        <v>963.53447247200018</v>
      </c>
      <c r="E12" s="23">
        <f>E8*E10</f>
        <v>12.028972198972188</v>
      </c>
      <c r="F12" s="23">
        <f>F8*F10</f>
        <v>3875.6324754635471</v>
      </c>
      <c r="G12" s="23"/>
      <c r="H12" s="23"/>
      <c r="I12" s="23"/>
      <c r="J12" s="23">
        <f>J8*J10</f>
        <v>310.49547846590923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0.8134166946724376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944.17384616461857</v>
      </c>
      <c r="C26" s="247">
        <f>B26*'GWP N2O_CH4'!B5</f>
        <v>19827.650769456988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391.9365569229966</v>
      </c>
      <c r="C27" s="247">
        <f>B27*'GWP N2O_CH4'!B5</f>
        <v>8230.6676953829283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12.621633848678171</v>
      </c>
      <c r="C28" s="247">
        <f>B28*'GWP N2O_CH4'!B4</f>
        <v>3912.7064930902329</v>
      </c>
      <c r="D28" s="50"/>
    </row>
    <row r="29" spans="1:4">
      <c r="A29" s="41" t="s">
        <v>276</v>
      </c>
      <c r="B29" s="247">
        <f>B34*'ha_N2O bodem landbouw'!B4</f>
        <v>27.114648156526091</v>
      </c>
      <c r="C29" s="247">
        <f>B29*'GWP N2O_CH4'!B4</f>
        <v>8405.540928523089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6.081337894336754E-3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4.5711085320183491E-5</v>
      </c>
      <c r="C5" s="438" t="s">
        <v>210</v>
      </c>
      <c r="D5" s="423">
        <f>SUM(D6:D11)</f>
        <v>8.9045586291730861E-5</v>
      </c>
      <c r="E5" s="423">
        <f>SUM(E6:E11)</f>
        <v>8.5085930803774335E-4</v>
      </c>
      <c r="F5" s="436" t="s">
        <v>210</v>
      </c>
      <c r="G5" s="423">
        <f>SUM(G6:G11)</f>
        <v>0.28045520831612147</v>
      </c>
      <c r="H5" s="423">
        <f>SUM(H6:H11)</f>
        <v>5.4061905011512923E-2</v>
      </c>
      <c r="I5" s="438" t="s">
        <v>210</v>
      </c>
      <c r="J5" s="438" t="s">
        <v>210</v>
      </c>
      <c r="K5" s="438" t="s">
        <v>210</v>
      </c>
      <c r="L5" s="438" t="s">
        <v>210</v>
      </c>
      <c r="M5" s="423">
        <f>SUM(M6:M11)</f>
        <v>1.7909037127494521E-2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3.8245316531239191E-5</v>
      </c>
      <c r="C6" s="424"/>
      <c r="D6" s="866">
        <f>vkm_GW_PW*SUMIFS(TableVerdeelsleutelVkm[CNG],TableVerdeelsleutelVkm[Voertuigtype],"Lichte voertuigen")*SUMIFS(TableECFTransport[EnergieConsumptieFactor (PJ per km)],TableECFTransport[Index],CONCATENATE($A6,"_CNG_CNG"))</f>
        <v>6.6737484060573317E-5</v>
      </c>
      <c r="E6" s="866">
        <f>vkm_GW_PW*SUMIFS(TableVerdeelsleutelVkm[LPG],TableVerdeelsleutelVkm[Voertuigtype],"Lichte voertuigen")*SUMIFS(TableECFTransport[EnergieConsumptieFactor (PJ per km)],TableECFTransport[Index],CONCATENATE($A6,"_LPG_LPG"))</f>
        <v>6.46385339420685E-4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0.15191167707310302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4.0869650651170791E-2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1.0054048008532145E-2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7.9472758520436323E-2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1.5412294003269963E-6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4.6076508703017105E-3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7.4657687889442999E-6</v>
      </c>
      <c r="C8" s="424"/>
      <c r="D8" s="426">
        <f>vkm_NGW_PW*SUMIFS(TableVerdeelsleutelVkm[CNG],TableVerdeelsleutelVkm[Voertuigtype],"Lichte voertuigen")*SUMIFS(TableECFTransport[EnergieConsumptieFactor (PJ per km)],TableECFTransport[Index],CONCATENATE($A8,"_CNG_CNG"))</f>
        <v>2.2308102231157547E-5</v>
      </c>
      <c r="E8" s="426">
        <f>vkm_NGW_PW*SUMIFS(TableVerdeelsleutelVkm[LPG],TableVerdeelsleutelVkm[Voertuigtype],"Lichte voertuigen")*SUMIFS(TableECFTransport[EnergieConsumptieFactor (PJ per km)],TableECFTransport[Index],CONCATENATE($A8,"_LPG_LPG"))</f>
        <v>2.0447396861705833E-4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4.5107326309189212E-2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1.3190617921880102E-2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3.017546026424579E-3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3.963446413392897E-3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9.5209061703902576E-8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2.2979222223608707E-4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12.69752370005097</v>
      </c>
      <c r="C14" s="21"/>
      <c r="D14" s="21">
        <f t="shared" ref="D14:M14" si="0">((D5)*10^9/3600)+D12</f>
        <v>24.734885081036349</v>
      </c>
      <c r="E14" s="21">
        <f t="shared" si="0"/>
        <v>236.34980778826204</v>
      </c>
      <c r="F14" s="21"/>
      <c r="G14" s="21">
        <f t="shared" si="0"/>
        <v>77904.224532255961</v>
      </c>
      <c r="H14" s="21">
        <f t="shared" si="0"/>
        <v>15017.195836531368</v>
      </c>
      <c r="I14" s="21"/>
      <c r="J14" s="21"/>
      <c r="K14" s="21"/>
      <c r="L14" s="21"/>
      <c r="M14" s="21">
        <f t="shared" si="0"/>
        <v>4974.7325354151444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0.17729338553962776</v>
      </c>
      <c r="C16" s="56">
        <f ca="1">'EF ele_warmte'!B22</f>
        <v>4.917123944993936E-4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2.2511869647516973</v>
      </c>
      <c r="C18" s="23"/>
      <c r="D18" s="23">
        <f t="shared" ref="D18:M18" si="1">D14*D16</f>
        <v>4.9964467863693427</v>
      </c>
      <c r="E18" s="23">
        <f t="shared" si="1"/>
        <v>53.651406367935486</v>
      </c>
      <c r="F18" s="23"/>
      <c r="G18" s="23">
        <f t="shared" si="1"/>
        <v>20800.427950112342</v>
      </c>
      <c r="H18" s="23">
        <f t="shared" si="1"/>
        <v>3739.2817632963106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7.6334405575074404E-3</v>
      </c>
      <c r="H50" s="319">
        <f t="shared" si="2"/>
        <v>0</v>
      </c>
      <c r="I50" s="319">
        <f t="shared" si="2"/>
        <v>0</v>
      </c>
      <c r="J50" s="319">
        <f t="shared" si="2"/>
        <v>0</v>
      </c>
      <c r="K50" s="319">
        <f t="shared" si="2"/>
        <v>0</v>
      </c>
      <c r="L50" s="319">
        <f t="shared" si="2"/>
        <v>0</v>
      </c>
      <c r="M50" s="319">
        <f t="shared" si="2"/>
        <v>4.3630422830387769E-4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7.6334405575074404E-3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4.3630422830387769E-4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2120.4001548631777</v>
      </c>
      <c r="H54" s="21">
        <f t="shared" si="3"/>
        <v>0</v>
      </c>
      <c r="I54" s="21">
        <f t="shared" si="3"/>
        <v>0</v>
      </c>
      <c r="J54" s="21">
        <f t="shared" si="3"/>
        <v>0</v>
      </c>
      <c r="K54" s="21">
        <f t="shared" si="3"/>
        <v>0</v>
      </c>
      <c r="L54" s="21">
        <f t="shared" si="3"/>
        <v>0</v>
      </c>
      <c r="M54" s="21">
        <f t="shared" si="3"/>
        <v>121.19561897329936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0.17729338553962776</v>
      </c>
      <c r="C56" s="56">
        <f ca="1">'EF ele_warmte'!B22</f>
        <v>4.917123944993936E-4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566.14684134846846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9960.5547914387207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N33</f>
        <v>10874.362500000001</v>
      </c>
      <c r="C8" s="545">
        <f>B52</f>
        <v>26.47058823529412</v>
      </c>
      <c r="D8" s="1022"/>
      <c r="E8" s="1022">
        <f>E52</f>
        <v>0</v>
      </c>
      <c r="F8" s="1023"/>
      <c r="G8" s="546"/>
      <c r="H8" s="1022">
        <f>I52</f>
        <v>0</v>
      </c>
      <c r="I8" s="1022">
        <f>G52+F52</f>
        <v>0</v>
      </c>
      <c r="J8" s="1022">
        <f>H52+D52+C52</f>
        <v>12766.897058823532</v>
      </c>
      <c r="K8" s="1022"/>
      <c r="L8" s="1022"/>
      <c r="M8" s="1022"/>
      <c r="N8" s="547"/>
      <c r="O8" s="548">
        <f>C8*$C$12+D8*$D$12+E8*$E$12+F8*$F$12+G8*$G$12+H8*$H$12+I8*$I$12+J8*$J$12</f>
        <v>5.3470588235294123</v>
      </c>
      <c r="P8" s="1253"/>
      <c r="Q8" s="1254"/>
      <c r="S8" s="986"/>
      <c r="T8" s="1274"/>
      <c r="U8" s="1274"/>
    </row>
    <row r="9" spans="1:21" s="534" customFormat="1" ht="17.45" customHeight="1" thickBot="1">
      <c r="A9" s="549" t="s">
        <v>247</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20834.917291438724</v>
      </c>
      <c r="C10" s="558">
        <f t="shared" ref="C10:L10" si="0">SUM(C8:C9)</f>
        <v>26.47058823529412</v>
      </c>
      <c r="D10" s="558">
        <f t="shared" si="0"/>
        <v>0</v>
      </c>
      <c r="E10" s="558">
        <f t="shared" si="0"/>
        <v>0</v>
      </c>
      <c r="F10" s="558">
        <f t="shared" si="0"/>
        <v>0</v>
      </c>
      <c r="G10" s="558">
        <f t="shared" si="0"/>
        <v>0</v>
      </c>
      <c r="H10" s="558">
        <f t="shared" si="0"/>
        <v>0</v>
      </c>
      <c r="I10" s="558">
        <f t="shared" si="0"/>
        <v>0</v>
      </c>
      <c r="J10" s="558">
        <f t="shared" si="0"/>
        <v>12766.897058823532</v>
      </c>
      <c r="K10" s="558">
        <f t="shared" si="0"/>
        <v>0</v>
      </c>
      <c r="L10" s="558">
        <f t="shared" si="0"/>
        <v>0</v>
      </c>
      <c r="M10" s="1025"/>
      <c r="N10" s="1025"/>
      <c r="O10" s="559">
        <f>SUM(O4:O9)</f>
        <v>5.3470588235294123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O33</f>
        <v>15534.803571428572</v>
      </c>
      <c r="C17" s="570">
        <f>B53</f>
        <v>37.815126050420169</v>
      </c>
      <c r="D17" s="571"/>
      <c r="E17" s="571">
        <f>E53</f>
        <v>0</v>
      </c>
      <c r="F17" s="1028"/>
      <c r="G17" s="572"/>
      <c r="H17" s="570">
        <f>I53</f>
        <v>0</v>
      </c>
      <c r="I17" s="571">
        <f>G53+F53</f>
        <v>0</v>
      </c>
      <c r="J17" s="571">
        <f>H53+D53+C53</f>
        <v>18238.4243697479</v>
      </c>
      <c r="K17" s="571"/>
      <c r="L17" s="571"/>
      <c r="M17" s="571"/>
      <c r="N17" s="1029"/>
      <c r="O17" s="573">
        <f>C17*$C$22+E17*$E$22+H17*$H$22+I17*$I$22+J17*$J$22+D17*$D$22+F17*$F$22+G17*$G$22+K17*$K$22+L17*$L$22</f>
        <v>7.6386554621848743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15534.803571428572</v>
      </c>
      <c r="C20" s="557">
        <f>SUM(C17:C19)</f>
        <v>37.815126050420169</v>
      </c>
      <c r="D20" s="557">
        <f t="shared" ref="D20:L20" si="1">SUM(D17:D19)</f>
        <v>0</v>
      </c>
      <c r="E20" s="557">
        <f t="shared" si="1"/>
        <v>0</v>
      </c>
      <c r="F20" s="557">
        <f t="shared" si="1"/>
        <v>0</v>
      </c>
      <c r="G20" s="557">
        <f t="shared" si="1"/>
        <v>0</v>
      </c>
      <c r="H20" s="557">
        <f t="shared" si="1"/>
        <v>0</v>
      </c>
      <c r="I20" s="557">
        <f t="shared" si="1"/>
        <v>0</v>
      </c>
      <c r="J20" s="557">
        <f t="shared" si="1"/>
        <v>18238.4243697479</v>
      </c>
      <c r="K20" s="557">
        <f t="shared" si="1"/>
        <v>0</v>
      </c>
      <c r="L20" s="557">
        <f t="shared" si="1"/>
        <v>0</v>
      </c>
      <c r="M20" s="557"/>
      <c r="N20" s="557"/>
      <c r="O20" s="576">
        <f>SUM(O17:O19)</f>
        <v>7.6386554621848743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72004</v>
      </c>
      <c r="C28" s="771">
        <v>3960</v>
      </c>
      <c r="D28" s="628" t="s">
        <v>913</v>
      </c>
      <c r="E28" s="627" t="s">
        <v>914</v>
      </c>
      <c r="F28" s="627" t="s">
        <v>915</v>
      </c>
      <c r="G28" s="627" t="s">
        <v>916</v>
      </c>
      <c r="H28" s="627" t="s">
        <v>917</v>
      </c>
      <c r="I28" s="627" t="s">
        <v>914</v>
      </c>
      <c r="J28" s="770">
        <v>41068</v>
      </c>
      <c r="K28" s="770">
        <v>41275</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81" customFormat="1" ht="25.5">
      <c r="A29" s="580"/>
      <c r="B29" s="771">
        <v>72004</v>
      </c>
      <c r="C29" s="771">
        <v>3960</v>
      </c>
      <c r="D29" s="628" t="s">
        <v>919</v>
      </c>
      <c r="E29" s="627" t="s">
        <v>920</v>
      </c>
      <c r="F29" s="627" t="s">
        <v>921</v>
      </c>
      <c r="G29" s="627" t="s">
        <v>916</v>
      </c>
      <c r="H29" s="627" t="s">
        <v>917</v>
      </c>
      <c r="I29" s="627" t="s">
        <v>922</v>
      </c>
      <c r="J29" s="770">
        <v>41078</v>
      </c>
      <c r="K29" s="770">
        <v>41275</v>
      </c>
      <c r="L29" s="627" t="s">
        <v>918</v>
      </c>
      <c r="M29" s="627">
        <v>19.399999999999999</v>
      </c>
      <c r="N29" s="627">
        <v>87.299999999999983</v>
      </c>
      <c r="O29" s="627">
        <v>124.71428571428569</v>
      </c>
      <c r="P29" s="627">
        <v>0</v>
      </c>
      <c r="Q29" s="627">
        <v>249.42857142857139</v>
      </c>
      <c r="R29" s="627">
        <v>0</v>
      </c>
      <c r="S29" s="627">
        <v>0</v>
      </c>
      <c r="T29" s="627">
        <v>0</v>
      </c>
      <c r="U29" s="627">
        <v>0</v>
      </c>
      <c r="V29" s="627">
        <v>0</v>
      </c>
      <c r="W29" s="627">
        <v>0</v>
      </c>
      <c r="X29" s="627">
        <v>10</v>
      </c>
      <c r="Y29" s="627" t="s">
        <v>111</v>
      </c>
      <c r="Z29" s="629" t="s">
        <v>111</v>
      </c>
    </row>
    <row r="30" spans="1:26" s="581" customFormat="1" ht="25.5">
      <c r="A30" s="580"/>
      <c r="B30" s="771">
        <v>72004</v>
      </c>
      <c r="C30" s="771">
        <v>3960</v>
      </c>
      <c r="D30" s="628" t="s">
        <v>923</v>
      </c>
      <c r="E30" s="627" t="s">
        <v>924</v>
      </c>
      <c r="F30" s="627" t="s">
        <v>925</v>
      </c>
      <c r="G30" s="627" t="s">
        <v>916</v>
      </c>
      <c r="H30" s="627" t="s">
        <v>917</v>
      </c>
      <c r="I30" s="627" t="s">
        <v>926</v>
      </c>
      <c r="J30" s="770">
        <v>41382</v>
      </c>
      <c r="K30" s="770">
        <v>41382</v>
      </c>
      <c r="L30" s="627" t="s">
        <v>918</v>
      </c>
      <c r="M30" s="627">
        <v>2380</v>
      </c>
      <c r="N30" s="627">
        <v>10710</v>
      </c>
      <c r="O30" s="627">
        <v>15300</v>
      </c>
      <c r="P30" s="627">
        <v>0</v>
      </c>
      <c r="Q30" s="627">
        <v>30600.000000000004</v>
      </c>
      <c r="R30" s="627">
        <v>0</v>
      </c>
      <c r="S30" s="627">
        <v>0</v>
      </c>
      <c r="T30" s="627">
        <v>0</v>
      </c>
      <c r="U30" s="627">
        <v>0</v>
      </c>
      <c r="V30" s="627">
        <v>0</v>
      </c>
      <c r="W30" s="627">
        <v>0</v>
      </c>
      <c r="X30" s="627">
        <v>10</v>
      </c>
      <c r="Y30" s="627" t="s">
        <v>111</v>
      </c>
      <c r="Z30" s="629" t="s">
        <v>111</v>
      </c>
    </row>
    <row r="31" spans="1:26" s="581" customFormat="1" ht="25.5">
      <c r="A31" s="580"/>
      <c r="B31" s="771">
        <v>72004</v>
      </c>
      <c r="C31" s="771">
        <v>3960</v>
      </c>
      <c r="D31" s="628" t="s">
        <v>927</v>
      </c>
      <c r="E31" s="627" t="s">
        <v>928</v>
      </c>
      <c r="F31" s="627" t="s">
        <v>929</v>
      </c>
      <c r="G31" s="627" t="s">
        <v>916</v>
      </c>
      <c r="H31" s="627" t="s">
        <v>917</v>
      </c>
      <c r="I31" s="627" t="s">
        <v>928</v>
      </c>
      <c r="J31" s="770">
        <v>41252</v>
      </c>
      <c r="K31" s="770">
        <v>41865</v>
      </c>
      <c r="L31" s="627" t="s">
        <v>918</v>
      </c>
      <c r="M31" s="627">
        <v>15</v>
      </c>
      <c r="N31" s="627">
        <v>22.5</v>
      </c>
      <c r="O31" s="627">
        <v>32.142857142857146</v>
      </c>
      <c r="P31" s="627">
        <v>64.285714285714292</v>
      </c>
      <c r="Q31" s="627">
        <v>0</v>
      </c>
      <c r="R31" s="627">
        <v>0</v>
      </c>
      <c r="S31" s="627">
        <v>0</v>
      </c>
      <c r="T31" s="627">
        <v>0</v>
      </c>
      <c r="U31" s="627">
        <v>0</v>
      </c>
      <c r="V31" s="627">
        <v>0</v>
      </c>
      <c r="W31" s="627">
        <v>0</v>
      </c>
      <c r="X31" s="627">
        <v>1200</v>
      </c>
      <c r="Y31" s="627" t="s">
        <v>930</v>
      </c>
      <c r="Z31" s="629" t="s">
        <v>155</v>
      </c>
    </row>
    <row r="32" spans="1:26" s="581" customFormat="1" ht="25.5">
      <c r="A32" s="580"/>
      <c r="B32" s="771">
        <v>72004</v>
      </c>
      <c r="C32" s="771">
        <v>3960</v>
      </c>
      <c r="D32" s="628" t="s">
        <v>931</v>
      </c>
      <c r="E32" s="627" t="s">
        <v>932</v>
      </c>
      <c r="F32" s="627" t="s">
        <v>933</v>
      </c>
      <c r="G32" s="627" t="s">
        <v>916</v>
      </c>
      <c r="H32" s="627" t="s">
        <v>917</v>
      </c>
      <c r="I32" s="627" t="s">
        <v>932</v>
      </c>
      <c r="J32" s="770">
        <v>41862</v>
      </c>
      <c r="K32" s="770">
        <v>41887</v>
      </c>
      <c r="L32" s="627" t="s">
        <v>918</v>
      </c>
      <c r="M32" s="627">
        <v>9.6999999999999993</v>
      </c>
      <c r="N32" s="627">
        <v>10.912499999999998</v>
      </c>
      <c r="O32" s="627">
        <v>15.589285714285712</v>
      </c>
      <c r="P32" s="627">
        <v>0</v>
      </c>
      <c r="Q32" s="627">
        <v>31.178571428571423</v>
      </c>
      <c r="R32" s="627">
        <v>0</v>
      </c>
      <c r="S32" s="627">
        <v>0</v>
      </c>
      <c r="T32" s="627">
        <v>0</v>
      </c>
      <c r="U32" s="627">
        <v>0</v>
      </c>
      <c r="V32" s="627">
        <v>0</v>
      </c>
      <c r="W32" s="627">
        <v>0</v>
      </c>
      <c r="X32" s="627">
        <v>10</v>
      </c>
      <c r="Y32" s="627" t="s">
        <v>111</v>
      </c>
      <c r="Z32" s="629" t="s">
        <v>111</v>
      </c>
    </row>
    <row r="33" spans="1:27" s="565" customFormat="1">
      <c r="A33" s="583" t="s">
        <v>279</v>
      </c>
      <c r="B33" s="584"/>
      <c r="C33" s="584"/>
      <c r="D33" s="584"/>
      <c r="E33" s="584"/>
      <c r="F33" s="584"/>
      <c r="G33" s="584"/>
      <c r="H33" s="584"/>
      <c r="I33" s="584"/>
      <c r="J33" s="584"/>
      <c r="K33" s="584"/>
      <c r="L33" s="585"/>
      <c r="M33" s="585">
        <f>SUM(M28:M32)</f>
        <v>2433.7999999999997</v>
      </c>
      <c r="N33" s="585">
        <f>SUM(N28:N32)</f>
        <v>10874.362500000001</v>
      </c>
      <c r="O33" s="585">
        <f>SUM(O28:O32)</f>
        <v>15534.803571428572</v>
      </c>
      <c r="P33" s="585">
        <f>SUM(P28:P32)</f>
        <v>64.285714285714292</v>
      </c>
      <c r="Q33" s="585">
        <f>SUM(Q28:Q32)</f>
        <v>31005.321428571435</v>
      </c>
      <c r="R33" s="585">
        <f>SUM(R28:R32)</f>
        <v>0</v>
      </c>
      <c r="S33" s="585">
        <f>SUM(S28:S32)</f>
        <v>0</v>
      </c>
      <c r="T33" s="585">
        <f>SUM(T28:T32)</f>
        <v>0</v>
      </c>
      <c r="U33" s="585">
        <f>SUM(U28:U32)</f>
        <v>0</v>
      </c>
      <c r="V33" s="585">
        <f>SUM(V28:V32)</f>
        <v>0</v>
      </c>
      <c r="W33" s="585">
        <f>SUM(W28:W32)</f>
        <v>0</v>
      </c>
      <c r="X33" s="586"/>
      <c r="Y33" s="586"/>
      <c r="Z33" s="587"/>
    </row>
    <row r="34" spans="1:27" s="565" customFormat="1">
      <c r="A34" s="583" t="s">
        <v>286</v>
      </c>
      <c r="B34" s="584"/>
      <c r="C34" s="584"/>
      <c r="D34" s="584"/>
      <c r="E34" s="584"/>
      <c r="F34" s="584"/>
      <c r="G34" s="584"/>
      <c r="H34" s="584"/>
      <c r="I34" s="584"/>
      <c r="J34" s="584"/>
      <c r="K34" s="584"/>
      <c r="L34" s="585"/>
      <c r="M34" s="585">
        <f>SUMIF($Z$28:$Z$32,"industrie",M28:M32)</f>
        <v>0</v>
      </c>
      <c r="N34" s="585">
        <f>SUMIF($Z$28:$Z$32,"industrie",N28:N32)</f>
        <v>0</v>
      </c>
      <c r="O34" s="585">
        <f>SUMIF($Z$28:$Z$32,"industrie",O28:O32)</f>
        <v>0</v>
      </c>
      <c r="P34" s="585">
        <f>SUMIF($Z$28:$Z$32,"industrie",P28:P32)</f>
        <v>0</v>
      </c>
      <c r="Q34" s="585">
        <f>SUMIF($Z$28:$Z$32,"industrie",Q28:Q32)</f>
        <v>0</v>
      </c>
      <c r="R34" s="585">
        <f>SUMIF($Z$28:$Z$32,"industrie",R28:R32)</f>
        <v>0</v>
      </c>
      <c r="S34" s="585">
        <f>SUMIF($Z$28:$Z$32,"industrie",S28:S32)</f>
        <v>0</v>
      </c>
      <c r="T34" s="585">
        <f>SUMIF($Z$28:$Z$32,"industrie",T28:T32)</f>
        <v>0</v>
      </c>
      <c r="U34" s="585">
        <f>SUMIF($Z$28:$Z$32,"industrie",U28:U32)</f>
        <v>0</v>
      </c>
      <c r="V34" s="585">
        <f>SUMIF($Z$28:$Z$32,"industrie",V28:V32)</f>
        <v>0</v>
      </c>
      <c r="W34" s="585">
        <f>SUMIF($Z$28:$Z$32,"industrie",W28:W32)</f>
        <v>0</v>
      </c>
      <c r="X34" s="586"/>
      <c r="Y34" s="586"/>
      <c r="Z34" s="587"/>
    </row>
    <row r="35" spans="1:27" s="565" customFormat="1">
      <c r="A35" s="583" t="s">
        <v>287</v>
      </c>
      <c r="B35" s="584"/>
      <c r="C35" s="584"/>
      <c r="D35" s="584"/>
      <c r="E35" s="584"/>
      <c r="F35" s="584"/>
      <c r="G35" s="584"/>
      <c r="H35" s="584"/>
      <c r="I35" s="584"/>
      <c r="J35" s="584"/>
      <c r="K35" s="584"/>
      <c r="L35" s="585"/>
      <c r="M35" s="585">
        <f ca="1">SUMIF($Z$28:AC32,"tertiair",M28:M32)</f>
        <v>15</v>
      </c>
      <c r="N35" s="585">
        <f ca="1">SUMIF($Z$28:AD32,"tertiair",N28:N32)</f>
        <v>22.5</v>
      </c>
      <c r="O35" s="585">
        <f ca="1">SUMIF($Z$28:AE32,"tertiair",O28:O32)</f>
        <v>32.142857142857146</v>
      </c>
      <c r="P35" s="585">
        <f ca="1">SUMIF($Z$28:AF32,"tertiair",P28:P32)</f>
        <v>64.285714285714292</v>
      </c>
      <c r="Q35" s="585">
        <f ca="1">SUMIF($Z$28:AG32,"tertiair",Q28:Q32)</f>
        <v>0</v>
      </c>
      <c r="R35" s="585">
        <f ca="1">SUMIF($Z$28:AH32,"tertiair",R28:R32)</f>
        <v>0</v>
      </c>
      <c r="S35" s="585">
        <f ca="1">SUMIF($Z$28:AI32,"tertiair",S28:S32)</f>
        <v>0</v>
      </c>
      <c r="T35" s="585">
        <f ca="1">SUMIF($Z$28:AJ32,"tertiair",T28:T32)</f>
        <v>0</v>
      </c>
      <c r="U35" s="585">
        <f ca="1">SUMIF($Z$28:AK32,"tertiair",U28:U32)</f>
        <v>0</v>
      </c>
      <c r="V35" s="585">
        <f ca="1">SUMIF($Z$28:AL32,"tertiair",V28:V32)</f>
        <v>0</v>
      </c>
      <c r="W35" s="585">
        <f ca="1">SUMIF($Z$28:AM32,"tertiair",W28:W32)</f>
        <v>0</v>
      </c>
      <c r="X35" s="586"/>
      <c r="Y35" s="586"/>
      <c r="Z35" s="587"/>
    </row>
    <row r="36" spans="1:27" s="565" customFormat="1" ht="15.75" thickBot="1">
      <c r="A36" s="588" t="s">
        <v>288</v>
      </c>
      <c r="B36" s="589"/>
      <c r="C36" s="589"/>
      <c r="D36" s="589"/>
      <c r="E36" s="589"/>
      <c r="F36" s="589"/>
      <c r="G36" s="589"/>
      <c r="H36" s="589"/>
      <c r="I36" s="589"/>
      <c r="J36" s="589"/>
      <c r="K36" s="589"/>
      <c r="L36" s="590"/>
      <c r="M36" s="590">
        <f>SUMIF($Z$28:$Z$32,"landbouw",M28:M32)</f>
        <v>2418.7999999999997</v>
      </c>
      <c r="N36" s="590">
        <f>SUMIF($Z$28:$Z$32,"landbouw",N28:N32)</f>
        <v>10851.862500000001</v>
      </c>
      <c r="O36" s="590">
        <f>SUMIF($Z$28:$Z$32,"landbouw",O28:O32)</f>
        <v>15502.660714285716</v>
      </c>
      <c r="P36" s="590">
        <f>SUMIF($Z$28:$Z$32,"landbouw",P28:P32)</f>
        <v>0</v>
      </c>
      <c r="Q36" s="590">
        <f>SUMIF($Z$28:$Z$32,"landbouw",Q28:Q32)</f>
        <v>31005.321428571435</v>
      </c>
      <c r="R36" s="590">
        <f>SUMIF($Z$28:$Z$32,"landbouw",R28:R32)</f>
        <v>0</v>
      </c>
      <c r="S36" s="590">
        <f>SUMIF($Z$28:$Z$32,"landbouw",S28:S32)</f>
        <v>0</v>
      </c>
      <c r="T36" s="590">
        <f>SUMIF($Z$28:$Z$32,"landbouw",T28:T32)</f>
        <v>0</v>
      </c>
      <c r="U36" s="590">
        <f>SUMIF($Z$28:$Z$32,"landbouw",U28:U32)</f>
        <v>0</v>
      </c>
      <c r="V36" s="590">
        <f>SUMIF($Z$28:$Z$32,"landbouw",V28:V32)</f>
        <v>0</v>
      </c>
      <c r="W36" s="590">
        <f>SUMIF($Z$28:$Z$32,"landbouw",W28:W32)</f>
        <v>0</v>
      </c>
      <c r="X36" s="591"/>
      <c r="Y36" s="591"/>
      <c r="Z36" s="592"/>
    </row>
    <row r="37" spans="1:27" s="534" customFormat="1" ht="15.75" thickBot="1">
      <c r="A37" s="593"/>
      <c r="B37" s="594"/>
      <c r="C37" s="594"/>
      <c r="D37" s="594"/>
      <c r="E37" s="594"/>
      <c r="F37" s="594"/>
      <c r="G37" s="594"/>
      <c r="H37" s="594"/>
      <c r="I37" s="594"/>
      <c r="J37" s="594"/>
      <c r="K37" s="594"/>
      <c r="L37" s="577"/>
      <c r="M37" s="577"/>
      <c r="N37" s="577"/>
      <c r="O37" s="578"/>
      <c r="P37" s="578"/>
    </row>
    <row r="38" spans="1:27" s="534" customFormat="1" ht="45">
      <c r="A38" s="595" t="s">
        <v>280</v>
      </c>
      <c r="B38" s="624" t="s">
        <v>89</v>
      </c>
      <c r="C38" s="624" t="s">
        <v>90</v>
      </c>
      <c r="D38" s="624" t="s">
        <v>91</v>
      </c>
      <c r="E38" s="624" t="s">
        <v>92</v>
      </c>
      <c r="F38" s="624" t="s">
        <v>93</v>
      </c>
      <c r="G38" s="624" t="s">
        <v>94</v>
      </c>
      <c r="H38" s="624" t="s">
        <v>95</v>
      </c>
      <c r="I38" s="624" t="s">
        <v>96</v>
      </c>
      <c r="J38" s="624" t="s">
        <v>97</v>
      </c>
      <c r="K38" s="624" t="s">
        <v>98</v>
      </c>
      <c r="L38" s="624" t="s">
        <v>99</v>
      </c>
      <c r="M38" s="625" t="s">
        <v>297</v>
      </c>
      <c r="N38" s="625" t="s">
        <v>100</v>
      </c>
      <c r="O38" s="625" t="s">
        <v>101</v>
      </c>
      <c r="P38" s="625" t="s">
        <v>543</v>
      </c>
      <c r="Q38" s="625" t="s">
        <v>102</v>
      </c>
      <c r="R38" s="625" t="s">
        <v>103</v>
      </c>
      <c r="S38" s="625" t="s">
        <v>104</v>
      </c>
      <c r="T38" s="625" t="s">
        <v>105</v>
      </c>
      <c r="U38" s="625" t="s">
        <v>106</v>
      </c>
      <c r="V38" s="625" t="s">
        <v>107</v>
      </c>
      <c r="W38" s="624" t="s">
        <v>108</v>
      </c>
      <c r="X38" s="624" t="s">
        <v>298</v>
      </c>
      <c r="Y38" s="624" t="s">
        <v>109</v>
      </c>
      <c r="Z38" s="626" t="s">
        <v>299</v>
      </c>
    </row>
    <row r="39" spans="1:27" s="596" customFormat="1" ht="12.75">
      <c r="A39" s="582"/>
      <c r="B39" s="771"/>
      <c r="C39" s="771"/>
      <c r="D39" s="630"/>
      <c r="E39" s="630"/>
      <c r="F39" s="630"/>
      <c r="G39" s="630"/>
      <c r="H39" s="630"/>
      <c r="I39" s="630"/>
      <c r="J39" s="770"/>
      <c r="K39" s="770"/>
      <c r="L39" s="630"/>
      <c r="M39" s="630"/>
      <c r="N39" s="630"/>
      <c r="O39" s="630"/>
      <c r="P39" s="630"/>
      <c r="Q39" s="630"/>
      <c r="R39" s="630"/>
      <c r="S39" s="630"/>
      <c r="T39" s="630"/>
      <c r="U39" s="630"/>
      <c r="V39" s="630"/>
      <c r="W39" s="630"/>
      <c r="X39" s="630"/>
      <c r="Y39" s="630"/>
      <c r="Z39" s="631"/>
    </row>
    <row r="40" spans="1:27" s="565" customFormat="1">
      <c r="A40" s="583" t="s">
        <v>279</v>
      </c>
      <c r="B40" s="584"/>
      <c r="C40" s="584"/>
      <c r="D40" s="584"/>
      <c r="E40" s="584"/>
      <c r="F40" s="584"/>
      <c r="G40" s="584"/>
      <c r="H40" s="584"/>
      <c r="I40" s="584"/>
      <c r="J40" s="584"/>
      <c r="K40" s="584"/>
      <c r="L40" s="585"/>
      <c r="M40" s="585">
        <f>SUM(M39:M39)</f>
        <v>0</v>
      </c>
      <c r="N40" s="585">
        <f>SUM(N39:N39)</f>
        <v>0</v>
      </c>
      <c r="O40" s="585">
        <f>SUM(O39:O39)</f>
        <v>0</v>
      </c>
      <c r="P40" s="585">
        <f>SUM(P39:P39)</f>
        <v>0</v>
      </c>
      <c r="Q40" s="585">
        <f>SUM(Q39:Q39)</f>
        <v>0</v>
      </c>
      <c r="R40" s="585">
        <f>SUM(R39:R39)</f>
        <v>0</v>
      </c>
      <c r="S40" s="585">
        <f>SUM(S39:S39)</f>
        <v>0</v>
      </c>
      <c r="T40" s="585">
        <f>SUM(T39:T39)</f>
        <v>0</v>
      </c>
      <c r="U40" s="585">
        <f>SUM(U39:U39)</f>
        <v>0</v>
      </c>
      <c r="V40" s="585">
        <f>SUM(V39:V39)</f>
        <v>0</v>
      </c>
      <c r="W40" s="585">
        <f>SUM(W39:W39)</f>
        <v>0</v>
      </c>
      <c r="X40" s="586"/>
      <c r="Y40" s="586"/>
      <c r="Z40" s="587"/>
    </row>
    <row r="41" spans="1:27" s="565" customFormat="1">
      <c r="A41" s="583" t="s">
        <v>286</v>
      </c>
      <c r="B41" s="584"/>
      <c r="C41" s="584"/>
      <c r="D41" s="584"/>
      <c r="E41" s="584"/>
      <c r="F41" s="584"/>
      <c r="G41" s="584"/>
      <c r="H41" s="584"/>
      <c r="I41" s="584"/>
      <c r="J41" s="584"/>
      <c r="K41" s="584"/>
      <c r="L41" s="585"/>
      <c r="M41" s="585">
        <f>SUMIF($Z$39:$Z$39,"industrie",M39:M39)</f>
        <v>0</v>
      </c>
      <c r="N41" s="585">
        <f>SUMIF($Z$39:$Z$39,"industrie",N39:N39)</f>
        <v>0</v>
      </c>
      <c r="O41" s="585">
        <f>SUMIF($Z$39:$Z$39,"industrie",O39:O39)</f>
        <v>0</v>
      </c>
      <c r="P41" s="585">
        <f>SUMIF($Z$39:$Z$39,"industrie",P39:P39)</f>
        <v>0</v>
      </c>
      <c r="Q41" s="585">
        <f>SUMIF($Z$39:$Z$39,"industrie",Q39:Q39)</f>
        <v>0</v>
      </c>
      <c r="R41" s="585">
        <f>SUMIF($Z$39:$Z$39,"industrie",R39:R39)</f>
        <v>0</v>
      </c>
      <c r="S41" s="585">
        <f>SUMIF($Z$39:$Z$39,"industrie",S39:S39)</f>
        <v>0</v>
      </c>
      <c r="T41" s="585">
        <f>SUMIF($Z$39:$Z$39,"industrie",T39:T39)</f>
        <v>0</v>
      </c>
      <c r="U41" s="585">
        <f>SUMIF($Z$39:$Z$39,"industrie",U39:U39)</f>
        <v>0</v>
      </c>
      <c r="V41" s="585">
        <f>SUMIF($Z$39:$Z$39,"industrie",V39:V39)</f>
        <v>0</v>
      </c>
      <c r="W41" s="585">
        <f>SUMIF($Z$39:$Z$39,"industrie",W39:W39)</f>
        <v>0</v>
      </c>
      <c r="X41" s="586"/>
      <c r="Y41" s="586"/>
      <c r="Z41" s="587"/>
    </row>
    <row r="42" spans="1:27" s="565" customFormat="1">
      <c r="A42" s="583" t="s">
        <v>287</v>
      </c>
      <c r="B42" s="584"/>
      <c r="C42" s="584"/>
      <c r="D42" s="584"/>
      <c r="E42" s="584"/>
      <c r="F42" s="584"/>
      <c r="G42" s="584"/>
      <c r="H42" s="584"/>
      <c r="I42" s="584"/>
      <c r="J42" s="584"/>
      <c r="K42" s="584"/>
      <c r="L42" s="585"/>
      <c r="M42" s="585">
        <f>SUMIF($Z$39:$Z$40,"tertiair",M39:M40)</f>
        <v>0</v>
      </c>
      <c r="N42" s="585">
        <f>SUMIF($Z$39:$Z$40,"tertiair",N39:N40)</f>
        <v>0</v>
      </c>
      <c r="O42" s="585">
        <f>SUMIF($Z$39:$Z$40,"tertiair",O39:O40)</f>
        <v>0</v>
      </c>
      <c r="P42" s="585">
        <f>SUMIF($Z$39:$Z$40,"tertiair",P39:P40)</f>
        <v>0</v>
      </c>
      <c r="Q42" s="585">
        <f>SUMIF($Z$39:$Z$40,"tertiair",Q39:Q40)</f>
        <v>0</v>
      </c>
      <c r="R42" s="585">
        <f>SUMIF($Z$39:$Z$40,"tertiair",R39:R40)</f>
        <v>0</v>
      </c>
      <c r="S42" s="585">
        <f>SUMIF($Z$39:$Z$40,"tertiair",S39:S40)</f>
        <v>0</v>
      </c>
      <c r="T42" s="585">
        <f>SUMIF($Z$39:$Z$40,"tertiair",T39:T40)</f>
        <v>0</v>
      </c>
      <c r="U42" s="585">
        <f>SUMIF($Z$39:$Z$40,"tertiair",U39:U40)</f>
        <v>0</v>
      </c>
      <c r="V42" s="585">
        <f>SUMIF($Z$39:$Z$40,"tertiair",V39:V40)</f>
        <v>0</v>
      </c>
      <c r="W42" s="585">
        <f>SUMIF($Z$39:$Z$40,"tertiair",W39:W40)</f>
        <v>0</v>
      </c>
      <c r="X42" s="586"/>
      <c r="Y42" s="586"/>
      <c r="Z42" s="587"/>
    </row>
    <row r="43" spans="1:27" s="565" customFormat="1" ht="15.75" thickBot="1">
      <c r="A43" s="588" t="s">
        <v>288</v>
      </c>
      <c r="B43" s="589"/>
      <c r="C43" s="589"/>
      <c r="D43" s="589"/>
      <c r="E43" s="589"/>
      <c r="F43" s="589"/>
      <c r="G43" s="589"/>
      <c r="H43" s="589"/>
      <c r="I43" s="589"/>
      <c r="J43" s="589"/>
      <c r="K43" s="589"/>
      <c r="L43" s="590"/>
      <c r="M43" s="590">
        <f>SUMIF($Z$39:$Z$41,"landbouw",M39:M41)</f>
        <v>0</v>
      </c>
      <c r="N43" s="590">
        <f>SUMIF($Z$39:$Z$41,"landbouw",N39:N41)</f>
        <v>0</v>
      </c>
      <c r="O43" s="590">
        <f>SUMIF($Z$39:$Z$41,"landbouw",O39:O41)</f>
        <v>0</v>
      </c>
      <c r="P43" s="590">
        <f>SUMIF($Z$39:$Z$41,"landbouw",P39:P41)</f>
        <v>0</v>
      </c>
      <c r="Q43" s="590">
        <f>SUMIF($Z$39:$Z$41,"landbouw",Q39:Q41)</f>
        <v>0</v>
      </c>
      <c r="R43" s="590">
        <f>SUMIF($Z$39:$Z$41,"landbouw",R39:R41)</f>
        <v>0</v>
      </c>
      <c r="S43" s="590">
        <f>SUMIF($Z$39:$Z$41,"landbouw",S39:S41)</f>
        <v>0</v>
      </c>
      <c r="T43" s="590">
        <f>SUMIF($Z$39:$Z$41,"landbouw",T39:T41)</f>
        <v>0</v>
      </c>
      <c r="U43" s="590">
        <f>SUMIF($Z$39:$Z$41,"landbouw",U39:U41)</f>
        <v>0</v>
      </c>
      <c r="V43" s="590">
        <f>SUMIF($Z$39:$Z$41,"landbouw",V39:V41)</f>
        <v>0</v>
      </c>
      <c r="W43" s="590">
        <f>SUMIF($Z$39:$Z$41,"landbouw",W39:W41)</f>
        <v>0</v>
      </c>
      <c r="X43" s="591"/>
      <c r="Y43" s="591"/>
      <c r="Z43" s="592"/>
    </row>
    <row r="44" spans="1:27" s="597" customForma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7" s="597" customFormat="1" ht="15.75" thickBo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row>
    <row r="46" spans="1:27">
      <c r="A46" s="598" t="s">
        <v>281</v>
      </c>
      <c r="B46" s="599"/>
      <c r="C46" s="599"/>
      <c r="D46" s="599"/>
      <c r="E46" s="599"/>
      <c r="F46" s="599"/>
      <c r="G46" s="599"/>
      <c r="H46" s="599"/>
      <c r="I46" s="600"/>
      <c r="J46" s="601"/>
      <c r="K46" s="601"/>
      <c r="L46" s="602"/>
      <c r="M46" s="602"/>
      <c r="N46" s="602"/>
      <c r="O46" s="602"/>
      <c r="P46" s="602"/>
    </row>
    <row r="47" spans="1:27">
      <c r="A47" s="604"/>
      <c r="B47" s="594"/>
      <c r="C47" s="594"/>
      <c r="D47" s="594"/>
      <c r="E47" s="594"/>
      <c r="F47" s="594"/>
      <c r="G47" s="594"/>
      <c r="H47" s="594"/>
      <c r="I47" s="605"/>
      <c r="J47" s="594"/>
      <c r="K47" s="594"/>
      <c r="L47" s="602"/>
      <c r="M47" s="602"/>
      <c r="N47" s="602"/>
      <c r="O47" s="602"/>
      <c r="P47" s="602"/>
    </row>
    <row r="48" spans="1:27">
      <c r="A48" s="606"/>
      <c r="B48" s="607" t="s">
        <v>282</v>
      </c>
      <c r="C48" s="607" t="s">
        <v>283</v>
      </c>
      <c r="D48" s="607"/>
      <c r="E48" s="607"/>
      <c r="F48" s="607"/>
      <c r="G48" s="607"/>
      <c r="H48" s="607"/>
      <c r="I48" s="608"/>
      <c r="J48" s="607"/>
      <c r="K48" s="607"/>
      <c r="L48" s="607"/>
      <c r="M48" s="607"/>
      <c r="N48" s="607"/>
      <c r="O48" s="607"/>
      <c r="P48" s="602"/>
    </row>
    <row r="49" spans="1:16">
      <c r="A49" s="604" t="s">
        <v>279</v>
      </c>
      <c r="B49" s="609">
        <f>IF(ISERROR(O33/(O33+N33)),0,O33/(O33+N33))</f>
        <v>0.58823529411764697</v>
      </c>
      <c r="C49" s="610">
        <f>IF(ISERROR(N33/(O33+N33)),0,N33/(N33+O33))</f>
        <v>0.41176470588235292</v>
      </c>
      <c r="D49" s="577"/>
      <c r="E49" s="577"/>
      <c r="F49" s="577"/>
      <c r="G49" s="577"/>
      <c r="H49" s="577"/>
      <c r="I49" s="611"/>
      <c r="J49" s="577"/>
      <c r="K49" s="577"/>
      <c r="L49" s="612"/>
      <c r="M49" s="612"/>
      <c r="N49" s="612"/>
      <c r="O49" s="612"/>
      <c r="P49" s="602"/>
    </row>
    <row r="50" spans="1:16">
      <c r="A50" s="604"/>
      <c r="B50" s="613"/>
      <c r="C50" s="613"/>
      <c r="D50" s="613"/>
      <c r="E50" s="613"/>
      <c r="F50" s="613"/>
      <c r="G50" s="613"/>
      <c r="H50" s="613"/>
      <c r="I50" s="614"/>
      <c r="J50" s="613"/>
      <c r="K50" s="613"/>
      <c r="L50" s="615"/>
      <c r="M50" s="615"/>
      <c r="N50" s="615"/>
      <c r="O50" s="615"/>
      <c r="P50" s="602"/>
    </row>
    <row r="51" spans="1:16" ht="30">
      <c r="A51" s="616"/>
      <c r="B51" s="617" t="s">
        <v>543</v>
      </c>
      <c r="C51" s="617" t="s">
        <v>102</v>
      </c>
      <c r="D51" s="617" t="s">
        <v>103</v>
      </c>
      <c r="E51" s="617" t="s">
        <v>104</v>
      </c>
      <c r="F51" s="617" t="s">
        <v>105</v>
      </c>
      <c r="G51" s="617" t="s">
        <v>106</v>
      </c>
      <c r="H51" s="617" t="s">
        <v>107</v>
      </c>
      <c r="I51" s="618" t="s">
        <v>108</v>
      </c>
      <c r="J51" s="607"/>
      <c r="K51" s="607"/>
      <c r="L51" s="615"/>
      <c r="M51" s="615"/>
      <c r="N51" s="615"/>
      <c r="O51" s="602"/>
      <c r="P51" s="602"/>
    </row>
    <row r="52" spans="1:16">
      <c r="A52" s="606" t="s">
        <v>284</v>
      </c>
      <c r="B52" s="619">
        <f t="shared" ref="B52:I52" si="2">$C$49*P33</f>
        <v>26.47058823529412</v>
      </c>
      <c r="C52" s="619">
        <f t="shared" si="2"/>
        <v>12766.897058823532</v>
      </c>
      <c r="D52" s="619">
        <f t="shared" si="2"/>
        <v>0</v>
      </c>
      <c r="E52" s="619">
        <f t="shared" si="2"/>
        <v>0</v>
      </c>
      <c r="F52" s="619">
        <f t="shared" si="2"/>
        <v>0</v>
      </c>
      <c r="G52" s="619">
        <f t="shared" si="2"/>
        <v>0</v>
      </c>
      <c r="H52" s="619">
        <f t="shared" si="2"/>
        <v>0</v>
      </c>
      <c r="I52" s="620">
        <f t="shared" si="2"/>
        <v>0</v>
      </c>
      <c r="J52" s="577"/>
      <c r="K52" s="577"/>
      <c r="L52" s="615"/>
      <c r="M52" s="615"/>
      <c r="N52" s="615"/>
      <c r="O52" s="602"/>
      <c r="P52" s="602"/>
    </row>
    <row r="53" spans="1:16" ht="15.75" thickBot="1">
      <c r="A53" s="621" t="s">
        <v>285</v>
      </c>
      <c r="B53" s="622">
        <f t="shared" ref="B53:I53" si="3">$B$49*P33</f>
        <v>37.815126050420169</v>
      </c>
      <c r="C53" s="622">
        <f t="shared" si="3"/>
        <v>18238.4243697479</v>
      </c>
      <c r="D53" s="622">
        <f t="shared" si="3"/>
        <v>0</v>
      </c>
      <c r="E53" s="622">
        <f t="shared" si="3"/>
        <v>0</v>
      </c>
      <c r="F53" s="622">
        <f t="shared" si="3"/>
        <v>0</v>
      </c>
      <c r="G53" s="622">
        <f t="shared" si="3"/>
        <v>0</v>
      </c>
      <c r="H53" s="622">
        <f t="shared" si="3"/>
        <v>0</v>
      </c>
      <c r="I53" s="623">
        <f t="shared" si="3"/>
        <v>0</v>
      </c>
      <c r="J53" s="577"/>
      <c r="K53" s="577"/>
      <c r="L53" s="615"/>
      <c r="M53" s="615"/>
      <c r="N53" s="615"/>
      <c r="O53" s="602"/>
      <c r="P53" s="602"/>
    </row>
    <row r="54" spans="1:16">
      <c r="J54" s="563"/>
      <c r="K54" s="563"/>
      <c r="L54" s="563"/>
      <c r="M54" s="563"/>
      <c r="N54" s="563"/>
    </row>
    <row r="55" spans="1:16">
      <c r="J55" s="563"/>
      <c r="K55" s="563"/>
      <c r="L55" s="563"/>
      <c r="M55" s="563"/>
      <c r="N55"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2020-06-20T16:12:00Z</dcterms:modified>
</cp:coreProperties>
</file>