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J5" i="48"/>
  <c r="J23" i="48" s="1"/>
  <c r="K10" i="14"/>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J22" i="16"/>
  <c r="K43" i="14" s="1"/>
  <c r="K46" i="14" s="1"/>
  <c r="K61" i="14" s="1"/>
  <c r="K63" i="14" s="1"/>
  <c r="J8" i="48"/>
  <c r="J26" i="48" s="1"/>
  <c r="K13" i="14"/>
  <c r="K16" i="14" s="1"/>
  <c r="K27" i="14" s="1"/>
  <c r="J33" i="48"/>
  <c r="J15" i="48"/>
  <c r="N63" i="14"/>
  <c r="E33" i="48"/>
  <c r="E15" i="48"/>
  <c r="G33" i="48"/>
  <c r="I22" i="14"/>
  <c r="I27" i="14" s="1"/>
  <c r="I63" i="14" s="1"/>
  <c r="R20" i="14"/>
  <c r="R22" i="14" s="1"/>
  <c r="H27" i="48"/>
  <c r="H33" i="48" s="1"/>
  <c r="H15" i="48"/>
  <c r="O13" i="14"/>
  <c r="N8" i="48"/>
  <c r="N26" i="48" s="1"/>
  <c r="F8" i="48"/>
  <c r="G13" i="14"/>
  <c r="R13" i="14" l="1"/>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<sst xmlns="http://schemas.openxmlformats.org/spreadsheetml/2006/main" count="2461" uniqueCount="926">
  <si>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</si>
  <si>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</si>
  <si>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</si>
  <si>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</si>
  <si>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</si>
  <si>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</si>
  <si>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</si>
  <si>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</si>
  <si>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</si>
  <si>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</si>
  <si>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</si>
  <si>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</si>
  <si>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</si>
  <si>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</si>
  <si>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</si>
  <si>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</si>
  <si>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</si>
  <si>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</si>
  <si>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</si>
  <si>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</si>
  <si>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</si>
  <si>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</si>
  <si>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</si>
  <si>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</si>
  <si>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</si>
  <si>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</si>
  <si>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</si>
  <si>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</si>
  <si>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</si>
  <si>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</si>
  <si>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</si>
  <si>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</si>
  <si>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</si>
  <si>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</si>
  <si>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</si>
  <si>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</si>
  <si>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</si>
  <si>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</si>
  <si>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</si>
  <si>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</si>
  <si>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</si>
  <si>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</si>
  <si>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</si>
  <si>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</si>
  <si>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</si>
  <si>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</si>
  <si>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</si>
  <si>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</si>
  <si>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</si>
  <si>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</si>
  <si>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</si>
  <si>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</si>
  <si>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</si>
  <si>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</si>
  <si>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</si>
  <si>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</si>
  <si>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</si>
  <si>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</si>
  <si>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</si>
  <si>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</si>
  <si>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</si>
  <si>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</si>
  <si>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</si>
  <si>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</si>
  <si>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</si>
  <si>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</si>
  <si>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</si>
  <si>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</si>
  <si>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</si>
  <si>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</si>
  <si>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</si>
  <si>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</si>
  <si>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</si>
  <si>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</si>
  <si>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</si>
  <si>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</si>
  <si>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</si>
  <si>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</si>
  <si>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</si>
  <si>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</si>
  <si>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</si>
  <si>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</si>
  <si>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</si>
  <si>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</si>
  <si>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</si>
  <si>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</si>
  <si>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</si>
  <si>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</si>
  <si>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</si>
  <si>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</si>
  <si>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</si>
  <si>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</si>
  <si>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</si>
  <si>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</si>
  <si>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</si>
  <si>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</si>
  <si>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</si>
  <si>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</si>
  <si>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</si>
  <si>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</si>
  <si>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</si>
  <si>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</si>
  <si>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</si>
  <si>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</si>
  <si>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</si>
  <si>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</si>
  <si>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</si>
  <si>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</si>
  <si>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</si>
  <si>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</si>
  <si>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</si>
  <si>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</si>
  <si>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</si>
  <si>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</si>
  <si>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</si>
  <si>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</si>
  <si>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</si>
  <si>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</si>
  <si>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</si>
  <si>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</si>
  <si>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</si>
  <si>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</si>
  <si>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</si>
  <si>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</si>
  <si>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</si>
  <si>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</si>
  <si>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</si>
  <si>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</si>
  <si>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</si>
  <si>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</si>
  <si>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</si>
  <si>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</si>
  <si>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</si>
  <si>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</si>
  <si>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</si>
  <si>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</si>
  <si>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</si>
  <si>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</si>
  <si>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</si>
  <si>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</si>
  <si>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</si>
  <si>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</si>
  <si>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</si>
  <si>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</si>
  <si>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</si>
  <si>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</si>
  <si>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</si>
  <si>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</si>
  <si>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</si>
  <si>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</si>
  <si>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</si>
  <si>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</si>
  <si>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</si>
  <si>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</si>
  <si>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</si>
  <si>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</si>
  <si>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</si>
  <si>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</si>
  <si>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</si>
  <si>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</si>
  <si>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</si>
  <si>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</si>
  <si>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</si>
  <si>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</si>
  <si>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</si>
  <si>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</si>
  <si>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</si>
  <si>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</si>
  <si>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</si>
  <si>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</si>
  <si>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</si>
  <si>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</si>
  <si>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</si>
  <si>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</si>
  <si>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</si>
  <si>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</si>
  <si>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</si>
  <si>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</si>
  <si>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</si>
  <si>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</si>
  <si>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</si>
  <si>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</si>
  <si>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</si>
  <si>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</si>
  <si>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</si>
  <si>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</si>
  <si>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</si>
  <si>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</si>
  <si>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</si>
  <si>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</si>
  <si>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</si>
  <si>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</si>
  <si>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</si>
  <si>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</si>
  <si>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</si>
  <si>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</si>
  <si>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</si>
  <si>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</si>
  <si>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</si>
  <si>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</si>
  <si>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</si>
  <si>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</si>
  <si>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</si>
  <si>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</si>
  <si>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</si>
  <si>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</si>
  <si>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</si>
  <si>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</si>
  <si>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</si>
  <si>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</si>
  <si>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</si>
  <si>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</si>
  <si>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</si>
  <si>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</si>
  <si>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</si>
  <si>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</si>
  <si>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</si>
  <si>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</si>
  <si>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</si>
  <si>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</si>
  <si>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</si>
  <si>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</si>
  <si>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</si>
  <si>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</si>
  <si>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</si>
  <si>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</si>
  <si>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</si>
  <si>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</si>
  <si>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</si>
  <si>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</si>
  <si>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</si>
  <si>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</si>
  <si>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</si>
  <si>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</si>
  <si>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</si>
  <si>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</si>
  <si>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</si>
  <si>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</si>
  <si>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</si>
  <si>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</si>
  <si>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</si>
  <si>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</si>
  <si>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</si>
  <si>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</si>
  <si>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</si>
  <si>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</si>
  <si>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</si>
  <si>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</si>
  <si>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</si>
  <si>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</si>
  <si>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</si>
  <si>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</si>
  <si>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</si>
  <si>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</si>
  <si>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</si>
  <si>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</si>
  <si>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</si>
  <si>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</si>
  <si>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</si>
  <si>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</si>
  <si>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</si>
  <si>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</si>
  <si>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</si>
  <si>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</si>
  <si>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</si>
  <si>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</si>
  <si>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</si>
  <si>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</si>
  <si>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</si>
  <si>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</si>
  <si>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</si>
  <si>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</si>
  <si>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</si>
  <si>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</si>
  <si>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</si>
  <si>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</si>
  <si>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</si>
  <si>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</si>
  <si>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</si>
  <si>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</si>
  <si>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</si>
  <si>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</si>
  <si>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</si>
  <si>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</si>
  <si>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</si>
  <si>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</si>
  <si>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</si>
  <si>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</si>
  <si>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</si>
  <si>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</si>
  <si>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</si>
  <si>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</si>
  <si>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</si>
  <si>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</si>
  <si>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</si>
  <si>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</si>
  <si>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</si>
  <si>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</si>
  <si>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</si>
  <si>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</si>
  <si>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</si>
  <si>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</si>
  <si>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</si>
  <si>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</si>
  <si>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</si>
  <si>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</si>
  <si>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</si>
  <si>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</si>
  <si>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</si>
  <si>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</si>
  <si>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</si>
  <si>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</si>
  <si>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</si>
  <si>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</si>
  <si>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</si>
  <si>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</si>
  <si>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</si>
  <si>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</si>
  <si>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</si>
  <si>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</si>
  <si>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</si>
  <si>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</si>
  <si>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</si>
  <si>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</si>
  <si>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</si>
  <si>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</si>
  <si>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</si>
  <si>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</si>
  <si>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</si>
  <si>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</si>
  <si>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</si>
  <si>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</si>
  <si>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</si>
  <si>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</si>
  <si>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</si>
  <si>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</si>
  <si>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</si>
  <si>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</si>
  <si>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</si>
  <si>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</si>
  <si>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</si>
  <si>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</si>
  <si>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</si>
  <si>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</si>
  <si>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</si>
  <si>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</si>
  <si>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</si>
  <si>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</si>
  <si>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</si>
  <si>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</si>
  <si>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</si>
  <si>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</si>
  <si>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</si>
  <si>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</si>
  <si>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</si>
  <si>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</si>
  <si>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</si>
  <si>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</si>
  <si>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</si>
  <si>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</si>
  <si>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</si>
  <si>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</si>
  <si>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</si>
  <si>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</si>
  <si>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</si>
  <si>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</si>
  <si>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</si>
  <si>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</si>
  <si>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</si>
  <si>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</si>
  <si>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</si>
  <si>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</si>
  <si>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</si>
  <si>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</si>
  <si>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</si>
  <si>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</si>
  <si>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</si>
  <si>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</si>
  <si>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</si>
  <si>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</si>
  <si>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</si>
  <si>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</si>
  <si>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</si>
  <si>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</si>
  <si>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</si>
  <si>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</si>
  <si>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</si>
  <si>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</si>
  <si>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</si>
  <si>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</si>
  <si>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</si>
  <si>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</si>
  <si>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</si>
  <si>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</si>
  <si>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</si>
  <si>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</si>
  <si>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</si>
  <si>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</si>
  <si>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</si>
  <si>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</si>
  <si>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</si>
  <si>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</si>
  <si>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</si>
  <si>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</si>
  <si>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</si>
  <si>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</si>
  <si>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</si>
  <si>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</si>
  <si>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</si>
  <si>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</si>
  <si>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</si>
  <si>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</si>
  <si>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</si>
  <si>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</si>
  <si>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</si>
  <si>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</si>
  <si>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</si>
  <si>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</si>
  <si>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</si>
  <si>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</si>
  <si>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</si>
  <si>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</si>
  <si>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</si>
  <si>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</si>
  <si>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</si>
  <si>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</si>
  <si>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</si>
  <si>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</si>
  <si>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</si>
  <si>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</si>
  <si>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</si>
  <si>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</si>
  <si>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</si>
  <si>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</si>
  <si>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</si>
  <si>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</si>
  <si>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</si>
  <si>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</si>
  <si>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</si>
  <si>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</si>
  <si>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</si>
  <si>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</si>
  <si>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</si>
  <si>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</si>
  <si>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</si>
  <si>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</si>
  <si>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</si>
  <si>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</si>
  <si>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</si>
  <si>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</si>
  <si>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</si>
  <si>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</si>
  <si>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</si>
  <si>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</si>
  <si>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</si>
  <si>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</si>
  <si>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</si>
  <si>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</si>
  <si>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</si>
  <si>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</si>
  <si>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</si>
  <si>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</si>
  <si>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</si>
  <si>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</si>
  <si>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</si>
  <si>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</si>
  <si>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</si>
  <si>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</si>
  <si>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</si>
  <si>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</si>
  <si>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</si>
  <si>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</si>
  <si>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</si>
  <si>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</si>
  <si>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</si>
  <si>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</si>
  <si>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</si>
  <si>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</si>
  <si>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</si>
  <si>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</si>
  <si>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</si>
  <si>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</si>
  <si>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</si>
  <si>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</si>
  <si>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</si>
  <si>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</si>
  <si>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</si>
  <si>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</si>
  <si>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</si>
  <si>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</si>
  <si>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</si>
  <si>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</si>
  <si>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</si>
  <si>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</si>
  <si>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</si>
  <si>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</si>
  <si>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</si>
  <si>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</si>
  <si>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</si>
  <si>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</si>
  <si>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</si>
  <si>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</si>
  <si>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</si>
  <si>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</si>
  <si>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</si>
  <si>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</si>
  <si>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</si>
  <si>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</si>
  <si>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</si>
  <si>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</si>
  <si>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</si>
  <si>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</si>
  <si>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</si>
  <si>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</si>
  <si>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</si>
  <si>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</si>
  <si>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</si>
  <si>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</si>
  <si>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</si>
  <si>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</si>
  <si>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</si>
  <si>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</si>
  <si>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</si>
  <si>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</si>
  <si>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</si>
  <si>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</si>
  <si>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</si>
  <si>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</si>
  <si>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</si>
  <si>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</si>
  <si>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</si>
  <si>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</si>
  <si>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</si>
  <si>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</si>
  <si>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</si>
  <si>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</si>
  <si>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</si>
  <si>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</si>
  <si>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</si>
  <si>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</si>
  <si>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</si>
  <si>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</si>
  <si>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</si>
  <si>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</si>
  <si>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</si>
  <si>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</si>
  <si>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</si>
  <si>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</si>
  <si>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</si>
  <si>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</si>
  <si>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</si>
  <si>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</si>
  <si>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</si>
  <si>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</si>
  <si>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</si>
  <si>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</si>
  <si>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</si>
  <si>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</si>
  <si>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</si>
  <si>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</si>
  <si>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</si>
  <si>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</si>
  <si>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</si>
  <si>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</si>
  <si>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</si>
  <si>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</si>
  <si>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</si>
  <si>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</si>
  <si>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</si>
  <si>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</si>
  <si>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</si>
  <si>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</si>
  <si>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</si>
  <si>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</si>
  <si>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</si>
  <si>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</si>
  <si>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</si>
  <si>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</si>
  <si>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</si>
  <si>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</si>
  <si>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</si>
  <si>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</si>
  <si>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</si>
  <si>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</si>
  <si>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</si>
  <si>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</si>
  <si>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</si>
  <si>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</si>
  <si>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</si>
  <si>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</si>
  <si>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</si>
  <si>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</si>
  <si>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</si>
  <si>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</si>
  <si>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</si>
  <si>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</si>
  <si>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</si>
  <si>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</si>
  <si>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</si>
  <si>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</si>
  <si>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</si>
  <si>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</si>
  <si>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</si>
  <si>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</si>
  <si>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</si>
  <si>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</si>
  <si>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</si>
  <si>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</si>
  <si>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</si>
  <si>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</si>
  <si>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</si>
  <si>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</si>
  <si>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</si>
  <si>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</si>
  <si>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</si>
  <si>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</si>
  <si>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</si>
  <si>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</si>
  <si>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</si>
  <si>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</si>
  <si>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</si>
  <si>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</si>
  <si>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</si>
  <si>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</si>
  <si>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</si>
  <si>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</si>
  <si>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</si>
  <si>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</si>
  <si>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</si>
  <si>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</si>
  <si>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</si>
  <si>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</si>
  <si>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</si>
  <si>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</si>
  <si>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</si>
  <si>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</si>
  <si>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</si>
  <si>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</si>
  <si>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</si>
  <si>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</si>
  <si>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</si>
  <si>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</si>
  <si>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</si>
  <si>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</si>
  <si>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</si>
  <si>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</si>
  <si>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</si>
  <si>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</si>
  <si>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</si>
  <si>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</si>
  <si>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</si>
  <si>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</si>
  <si>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</si>
  <si>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</si>
  <si>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</si>
  <si>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</si>
  <si>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</si>
  <si>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</si>
  <si>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</si>
  <si>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</si>
  <si>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</si>
  <si>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</si>
  <si>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</si>
  <si>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</si>
  <si>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</si>
  <si>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</si>
  <si>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</si>
  <si>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</si>
  <si>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</si>
  <si>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</si>
  <si>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</si>
  <si>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</si>
  <si>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</si>
  <si>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</si>
  <si>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</si>
  <si>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</si>
  <si>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</si>
  <si>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</si>
  <si>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</si>
  <si>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</si>
  <si>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</si>
  <si>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</si>
  <si>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</si>
  <si>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</si>
  <si>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</si>
  <si>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</si>
  <si>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</si>
  <si>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</si>
  <si>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</si>
  <si>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</si>
  <si>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</si>
  <si>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</si>
  <si>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</si>
  <si>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</si>
  <si>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</si>
  <si>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</si>
  <si>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</si>
  <si>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</si>
  <si>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</si>
  <si>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</si>
  <si>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</si>
  <si>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</si>
  <si>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</si>
  <si>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</si>
  <si>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</si>
  <si>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</si>
  <si>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</si>
  <si>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</si>
  <si>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</si>
  <si>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</si>
  <si>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</si>
  <si>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</si>
  <si>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</si>
  <si>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</si>
  <si>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</si>
  <si>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</si>
  <si>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</si>
  <si>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</si>
  <si>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</si>
  <si>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</si>
  <si>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</si>
  <si>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</si>
  <si>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</si>
  <si>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</si>
  <si>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</si>
  <si>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</si>
  <si>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</si>
  <si>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</si>
  <si>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</si>
  <si>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</si>
  <si>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</si>
  <si>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</si>
  <si>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</si>
  <si>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</si>
  <si>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</si>
  <si>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</si>
  <si>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</si>
  <si>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</si>
  <si>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</si>
  <si>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</si>
  <si>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</si>
  <si>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</si>
  <si>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</si>
  <si>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</si>
  <si>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</si>
  <si>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</si>
  <si>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</si>
  <si>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</si>
  <si>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</si>
  <si>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</si>
  <si>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</si>
  <si>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</si>
  <si>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</si>
  <si>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</si>
  <si>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</si>
  <si>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</si>
  <si>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</si>
  <si>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</si>
  <si>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</si>
  <si>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</si>
  <si>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</si>
  <si>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</si>
  <si>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</si>
  <si>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</si>
  <si>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</si>
  <si>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</si>
  <si>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</si>
  <si>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</si>
  <si>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</si>
  <si>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</si>
  <si>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</si>
  <si>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</si>
  <si>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</si>
  <si>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</si>
  <si>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</si>
  <si>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</si>
  <si>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</si>
  <si>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</si>
  <si>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</si>
  <si>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</si>
  <si>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</si>
  <si>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</si>
  <si>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</si>
  <si>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</si>
  <si>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</si>
  <si>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</si>
  <si>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</si>
  <si>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</si>
  <si>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</si>
  <si>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</si>
  <si>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</si>
  <si>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</si>
  <si>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</si>
  <si>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</si>
  <si>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</si>
  <si>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</si>
  <si>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</si>
  <si>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</si>
  <si>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</si>
  <si>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</si>
  <si>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</si>
  <si>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</si>
  <si>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</si>
  <si>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</si>
  <si>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</si>
  <si>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</si>
  <si>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</si>
  <si>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</si>
  <si>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</si>
  <si>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</si>
  <si>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</si>
  <si>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</si>
  <si>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</si>
  <si>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</si>
  <si>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</si>
  <si>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</si>
  <si>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</si>
  <si>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</si>
  <si>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</si>
  <si>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</si>
  <si>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</si>
  <si>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</si>
  <si>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</si>
  <si>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</si>
  <si>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</si>
  <si>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</si>
  <si>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</si>
  <si>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</si>
  <si>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</si>
  <si>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</si>
  <si>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</si>
  <si>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</si>
  <si>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</si>
  <si>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</si>
  <si>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</si>
  <si>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</si>
  <si>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</si>
  <si>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</si>
  <si>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</si>
  <si>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</si>
  <si>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</si>
  <si>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</si>
  <si>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</si>
  <si>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</si>
  <si>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</si>
  <si>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</si>
  <si>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</si>
  <si>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</si>
  <si>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</si>
  <si>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</si>
  <si>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</si>
  <si>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</si>
  <si>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</si>
  <si>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</si>
  <si>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</si>
  <si>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</si>
  <si>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</si>
  <si>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</si>
  <si>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</si>
  <si>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</si>
  <si>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</si>
  <si>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</si>
  <si>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</si>
  <si>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</si>
  <si>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</si>
  <si>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</si>
  <si>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</si>
  <si>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</si>
  <si>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</si>
  <si>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</si>
  <si>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</si>
  <si>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</si>
  <si>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</si>
  <si>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</si>
  <si>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</si>
  <si>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</si>
  <si>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</si>
  <si>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</si>
  <si>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</si>
  <si>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</si>
  <si>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</si>
  <si>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</si>
  <si>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</si>
  <si>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</si>
  <si>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</si>
  <si>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</si>
  <si>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</si>
  <si>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</si>
  <si>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</si>
  <si>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</si>
  <si>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</si>
  <si>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</si>
  <si>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</si>
  <si>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</si>
  <si>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</si>
  <si>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</si>
  <si>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</si>
  <si>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</si>
  <si>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</si>
  <si>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</si>
  <si>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</si>
  <si>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</si>
  <si>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</si>
  <si>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</si>
  <si>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</si>
  <si>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</si>
  <si>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</si>
  <si>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72003</t>
  </si>
  <si>
    <t>BOCHOLT</t>
  </si>
  <si>
    <t>Paarden&amp;pony's 200 - 600 kg</t>
  </si>
  <si>
    <t>Paarden&amp;pony's &lt; 200 kg</t>
  </si>
  <si>
    <t>Fluvius</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</si>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</sst>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124988.72535518187</c:v>
                </c:pt>
                <c:pt idx="1">
                  <c:v>79795.475491649675</c:v>
                </c:pt>
                <c:pt idx="2">
                  <c:v>921.16300000000001</c:v>
                </c:pt>
                <c:pt idx="3">
                  <c:v>12445.079432859231</c:v>
                </c:pt>
                <c:pt idx="4">
                  <c:v>103245.38076300698</c:v>
                </c:pt>
                <c:pt idx="5">
                  <c:v>59589.58406085951</c:v>
                </c:pt>
                <c:pt idx="6">
                  <c:v>1062.3442740544638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124988.72535518187</c:v>
                </c:pt>
                <c:pt idx="1">
                  <c:v>79795.475491649675</c:v>
                </c:pt>
                <c:pt idx="2">
                  <c:v>921.16300000000001</c:v>
                </c:pt>
                <c:pt idx="3">
                  <c:v>12445.079432859231</c:v>
                </c:pt>
                <c:pt idx="4">
                  <c:v>103245.38076300698</c:v>
                </c:pt>
                <c:pt idx="5">
                  <c:v>59589.58406085951</c:v>
                </c:pt>
                <c:pt idx="6">
                  <c:v>1062.3442740544638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25087.878968584359</c:v>
                </c:pt>
                <c:pt idx="2">
                  <c:v>15933.063474577277</c:v>
                </c:pt>
                <c:pt idx="3">
                  <c:v>181.61408283343729</c:v>
                </c:pt>
                <c:pt idx="4">
                  <c:v>3098.349103555161</c:v>
                </c:pt>
                <c:pt idx="5">
                  <c:v>21236.909572119665</c:v>
                </c:pt>
                <c:pt idx="6">
                  <c:v>14932.451770383961</c:v>
                </c:pt>
                <c:pt idx="7">
                  <c:v>268.31013075618034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25087.878968584359</c:v>
                </c:pt>
                <c:pt idx="2">
                  <c:v>15933.063474577277</c:v>
                </c:pt>
                <c:pt idx="3">
                  <c:v>181.61408283343729</c:v>
                </c:pt>
                <c:pt idx="4">
                  <c:v>3098.349103555161</c:v>
                </c:pt>
                <c:pt idx="5">
                  <c:v>21236.909572119665</c:v>
                </c:pt>
                <c:pt idx="6">
                  <c:v>14932.451770383961</c:v>
                </c:pt>
                <c:pt idx="7">
                  <c:v>268.31013075618034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72003</v>
      </c>
      <c r="B6" s="391"/>
      <c r="C6" s="392"/>
    </row>
    <row r="7" spans="1:7" s="389" customFormat="1" ht="15.75" customHeight="1">
      <c r="A7" s="393" t="str">
        <f>txtMunicipality</f>
        <v>BOCHOLT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45421.983</v>
      </c>
      <c r="D10" s="991">
        <f ca="1">tertiair!C16</f>
        <v>1593.2142857142858</v>
      </c>
      <c r="E10" s="991">
        <f ca="1">tertiair!D16</f>
        <v>28113.917545999997</v>
      </c>
      <c r="F10" s="991">
        <f>tertiair!E16</f>
        <v>224.43168363968624</v>
      </c>
      <c r="G10" s="991">
        <f ca="1">tertiair!F16</f>
        <v>5353.7119762957063</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9.3800000000000008</v>
      </c>
      <c r="Q10" s="992">
        <f>tertiair!P16</f>
        <v>0</v>
      </c>
      <c r="R10" s="675">
        <f ca="1">SUM(C10:Q10)</f>
        <v>80716.638491649675</v>
      </c>
      <c r="S10" s="67"/>
    </row>
    <row r="11" spans="1:19" s="448" customFormat="1">
      <c r="A11" s="784" t="s">
        <v>224</v>
      </c>
      <c r="B11" s="789"/>
      <c r="C11" s="991">
        <f>huishoudens!B8</f>
        <v>23958.089294360208</v>
      </c>
      <c r="D11" s="991">
        <f>huishoudens!C8</f>
        <v>0</v>
      </c>
      <c r="E11" s="991">
        <f>huishoudens!D8</f>
        <v>28845.040862000002</v>
      </c>
      <c r="F11" s="991">
        <f>huishoudens!E8</f>
        <v>16230.174996278172</v>
      </c>
      <c r="G11" s="991">
        <f>huishoudens!F8</f>
        <v>40649.501483209708</v>
      </c>
      <c r="H11" s="991">
        <f>huishoudens!G8</f>
        <v>0</v>
      </c>
      <c r="I11" s="991">
        <f>huishoudens!H8</f>
        <v>0</v>
      </c>
      <c r="J11" s="991">
        <f>huishoudens!I8</f>
        <v>0</v>
      </c>
      <c r="K11" s="991">
        <f>huishoudens!J8</f>
        <v>0</v>
      </c>
      <c r="L11" s="991">
        <f>huishoudens!K8</f>
        <v>0</v>
      </c>
      <c r="M11" s="991">
        <f>huishoudens!L8</f>
        <v>0</v>
      </c>
      <c r="N11" s="991">
        <f>huishoudens!M8</f>
        <v>0</v>
      </c>
      <c r="O11" s="991">
        <f>huishoudens!N8</f>
        <v>14420.945386000458</v>
      </c>
      <c r="P11" s="991">
        <f>huishoudens!O8</f>
        <v>293.90666666666669</v>
      </c>
      <c r="Q11" s="992">
        <f>huishoudens!P8</f>
        <v>591.06666666666661</v>
      </c>
      <c r="R11" s="675">
        <f>SUM(C11:Q11)</f>
        <v>124988.72535518187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20761.18</v>
      </c>
      <c r="D13" s="991">
        <f>industrie!C18</f>
        <v>0</v>
      </c>
      <c r="E13" s="991">
        <f>industrie!D18</f>
        <v>42003.913864000002</v>
      </c>
      <c r="F13" s="991">
        <f>industrie!E18</f>
        <v>1377.1324134816693</v>
      </c>
      <c r="G13" s="991">
        <f>industrie!F18</f>
        <v>30802.456154863066</v>
      </c>
      <c r="H13" s="991">
        <f>industrie!G18</f>
        <v>0</v>
      </c>
      <c r="I13" s="991">
        <f>industrie!H18</f>
        <v>0</v>
      </c>
      <c r="J13" s="991">
        <f>industrie!I18</f>
        <v>0</v>
      </c>
      <c r="K13" s="991">
        <f>industrie!J18</f>
        <v>344.72961551888409</v>
      </c>
      <c r="L13" s="991">
        <f>industrie!K18</f>
        <v>0</v>
      </c>
      <c r="M13" s="991">
        <f>industrie!L18</f>
        <v>0</v>
      </c>
      <c r="N13" s="991">
        <f>industrie!M18</f>
        <v>0</v>
      </c>
      <c r="O13" s="991">
        <f>industrie!N18</f>
        <v>7955.9687151433636</v>
      </c>
      <c r="P13" s="991">
        <f>industrie!O18</f>
        <v>0</v>
      </c>
      <c r="Q13" s="992">
        <f>industrie!P18</f>
        <v>0</v>
      </c>
      <c r="R13" s="675">
        <f>SUM(C13:Q13)</f>
        <v>103245.38076300698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90141.252294360194</v>
      </c>
      <c r="D16" s="707">
        <f t="shared" ref="D16:R16" ca="1" si="0">SUM(D9:D15)</f>
        <v>1593.2142857142858</v>
      </c>
      <c r="E16" s="707">
        <f t="shared" ca="1" si="0"/>
        <v>98962.872272000008</v>
      </c>
      <c r="F16" s="707">
        <f t="shared" si="0"/>
        <v>17831.739093399527</v>
      </c>
      <c r="G16" s="707">
        <f t="shared" ca="1" si="0"/>
        <v>76805.669614368482</v>
      </c>
      <c r="H16" s="707">
        <f t="shared" si="0"/>
        <v>0</v>
      </c>
      <c r="I16" s="707">
        <f t="shared" si="0"/>
        <v>0</v>
      </c>
      <c r="J16" s="707">
        <f t="shared" si="0"/>
        <v>0</v>
      </c>
      <c r="K16" s="707">
        <f t="shared" si="0"/>
        <v>344.72961551888409</v>
      </c>
      <c r="L16" s="707">
        <f t="shared" si="0"/>
        <v>0</v>
      </c>
      <c r="M16" s="707">
        <f t="shared" ca="1" si="0"/>
        <v>0</v>
      </c>
      <c r="N16" s="707">
        <f t="shared" si="0"/>
        <v>0</v>
      </c>
      <c r="O16" s="707">
        <f t="shared" ca="1" si="0"/>
        <v>22376.914101143822</v>
      </c>
      <c r="P16" s="707">
        <f t="shared" si="0"/>
        <v>303.28666666666669</v>
      </c>
      <c r="Q16" s="707">
        <f t="shared" si="0"/>
        <v>591.06666666666661</v>
      </c>
      <c r="R16" s="707">
        <f t="shared" ca="1" si="0"/>
        <v>308950.74460983853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1004.9068567647204</v>
      </c>
      <c r="I19" s="991">
        <f>transport!H54</f>
        <v>0</v>
      </c>
      <c r="J19" s="991">
        <f>transport!I54</f>
        <v>0</v>
      </c>
      <c r="K19" s="991">
        <f>transport!J54</f>
        <v>0</v>
      </c>
      <c r="L19" s="991">
        <f>transport!K54</f>
        <v>0</v>
      </c>
      <c r="M19" s="991">
        <f>transport!L54</f>
        <v>0</v>
      </c>
      <c r="N19" s="991">
        <f>transport!M54</f>
        <v>57.437417289743436</v>
      </c>
      <c r="O19" s="991">
        <f>transport!N54</f>
        <v>0</v>
      </c>
      <c r="P19" s="991">
        <f>transport!O54</f>
        <v>0</v>
      </c>
      <c r="Q19" s="992">
        <f>transport!P54</f>
        <v>0</v>
      </c>
      <c r="R19" s="675">
        <f>SUM(C19:Q19)</f>
        <v>1062.3442740544638</v>
      </c>
      <c r="S19" s="67"/>
    </row>
    <row r="20" spans="1:19" s="448" customFormat="1">
      <c r="A20" s="784" t="s">
        <v>306</v>
      </c>
      <c r="B20" s="789"/>
      <c r="C20" s="991">
        <f>transport!B14</f>
        <v>7.0917349438535409</v>
      </c>
      <c r="D20" s="991">
        <f>transport!C14</f>
        <v>0</v>
      </c>
      <c r="E20" s="991">
        <f>transport!D14</f>
        <v>15.176299781827897</v>
      </c>
      <c r="F20" s="991">
        <f>transport!E14</f>
        <v>143.49115507720154</v>
      </c>
      <c r="G20" s="991">
        <f>transport!F14</f>
        <v>0</v>
      </c>
      <c r="H20" s="991">
        <f>transport!G14</f>
        <v>47252.997669475597</v>
      </c>
      <c r="I20" s="991">
        <f>transport!H14</f>
        <v>9152.0686747007712</v>
      </c>
      <c r="J20" s="991">
        <f>transport!I14</f>
        <v>0</v>
      </c>
      <c r="K20" s="991">
        <f>transport!J14</f>
        <v>0</v>
      </c>
      <c r="L20" s="991">
        <f>transport!K14</f>
        <v>0</v>
      </c>
      <c r="M20" s="991">
        <f>transport!L14</f>
        <v>0</v>
      </c>
      <c r="N20" s="991">
        <f>transport!M14</f>
        <v>3018.7585268802563</v>
      </c>
      <c r="O20" s="991">
        <f>transport!N14</f>
        <v>0</v>
      </c>
      <c r="P20" s="991">
        <f>transport!O14</f>
        <v>0</v>
      </c>
      <c r="Q20" s="992">
        <f>transport!P14</f>
        <v>0</v>
      </c>
      <c r="R20" s="675">
        <f>SUM(C20:Q20)</f>
        <v>59589.58406085951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7.0917349438535409</v>
      </c>
      <c r="D22" s="787">
        <f t="shared" ref="D22:R22" si="1">SUM(D18:D21)</f>
        <v>0</v>
      </c>
      <c r="E22" s="787">
        <f t="shared" si="1"/>
        <v>15.176299781827897</v>
      </c>
      <c r="F22" s="787">
        <f t="shared" si="1"/>
        <v>143.49115507720154</v>
      </c>
      <c r="G22" s="787">
        <f t="shared" si="1"/>
        <v>0</v>
      </c>
      <c r="H22" s="787">
        <f t="shared" si="1"/>
        <v>48257.904526240316</v>
      </c>
      <c r="I22" s="787">
        <f t="shared" si="1"/>
        <v>9152.0686747007712</v>
      </c>
      <c r="J22" s="787">
        <f t="shared" si="1"/>
        <v>0</v>
      </c>
      <c r="K22" s="787">
        <f t="shared" si="1"/>
        <v>0</v>
      </c>
      <c r="L22" s="787">
        <f t="shared" si="1"/>
        <v>0</v>
      </c>
      <c r="M22" s="787">
        <f t="shared" si="1"/>
        <v>0</v>
      </c>
      <c r="N22" s="787">
        <f t="shared" si="1"/>
        <v>3076.1959441699996</v>
      </c>
      <c r="O22" s="787">
        <f t="shared" si="1"/>
        <v>0</v>
      </c>
      <c r="P22" s="787">
        <f t="shared" si="1"/>
        <v>0</v>
      </c>
      <c r="Q22" s="787">
        <f t="shared" si="1"/>
        <v>0</v>
      </c>
      <c r="R22" s="787">
        <f t="shared" si="1"/>
        <v>60651.928334913973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3320.28</v>
      </c>
      <c r="D24" s="991">
        <f>+landbouw!C8</f>
        <v>124.71428571428569</v>
      </c>
      <c r="E24" s="991">
        <f>+landbouw!D8</f>
        <v>36.112472000000004</v>
      </c>
      <c r="F24" s="991">
        <f>+landbouw!E8</f>
        <v>30.753824021096236</v>
      </c>
      <c r="G24" s="991">
        <f>+landbouw!F8</f>
        <v>8424.1828726909025</v>
      </c>
      <c r="H24" s="991">
        <f>+landbouw!G8</f>
        <v>0</v>
      </c>
      <c r="I24" s="991">
        <f>+landbouw!H8</f>
        <v>0</v>
      </c>
      <c r="J24" s="991">
        <f>+landbouw!I8</f>
        <v>0</v>
      </c>
      <c r="K24" s="991">
        <f>+landbouw!J8</f>
        <v>509.03597843294688</v>
      </c>
      <c r="L24" s="991">
        <f>+landbouw!K8</f>
        <v>0</v>
      </c>
      <c r="M24" s="991">
        <f>+landbouw!L8</f>
        <v>0</v>
      </c>
      <c r="N24" s="991">
        <f>+landbouw!M8</f>
        <v>0</v>
      </c>
      <c r="O24" s="991">
        <f>+landbouw!N8</f>
        <v>0</v>
      </c>
      <c r="P24" s="991">
        <f>+landbouw!O8</f>
        <v>0</v>
      </c>
      <c r="Q24" s="992">
        <f>+landbouw!P8</f>
        <v>0</v>
      </c>
      <c r="R24" s="675">
        <f>SUM(C24:Q24)</f>
        <v>12445.079432859231</v>
      </c>
      <c r="S24" s="67"/>
    </row>
    <row r="25" spans="1:19" s="448" customFormat="1" ht="15" thickBot="1">
      <c r="A25" s="806" t="s">
        <v>849</v>
      </c>
      <c r="B25" s="994"/>
      <c r="C25" s="995">
        <f>IF(Onbekend_ele_kWh="---",0,Onbekend_ele_kWh)/1000+IF(REST_rest_ele_kWh="---",0,REST_rest_ele_kWh)/1000</f>
        <v>304.72800000000001</v>
      </c>
      <c r="D25" s="995"/>
      <c r="E25" s="995">
        <f>IF(onbekend_gas_kWh="---",0,onbekend_gas_kWh)/1000+IF(REST_rest_gas_kWh="---",0,REST_rest_gas_kWh)/1000</f>
        <v>261.07</v>
      </c>
      <c r="F25" s="995"/>
      <c r="G25" s="995"/>
      <c r="H25" s="995"/>
      <c r="I25" s="995"/>
      <c r="J25" s="995"/>
      <c r="K25" s="995"/>
      <c r="L25" s="995"/>
      <c r="M25" s="995"/>
      <c r="N25" s="995"/>
      <c r="O25" s="995"/>
      <c r="P25" s="995"/>
      <c r="Q25" s="996"/>
      <c r="R25" s="675">
        <f>SUM(C25:Q25)</f>
        <v>565.798</v>
      </c>
      <c r="S25" s="67"/>
    </row>
    <row r="26" spans="1:19" s="448" customFormat="1" ht="15.75" thickBot="1">
      <c r="A26" s="680" t="s">
        <v>850</v>
      </c>
      <c r="B26" s="792"/>
      <c r="C26" s="787">
        <f>SUM(C24:C25)</f>
        <v>3625.0080000000003</v>
      </c>
      <c r="D26" s="787">
        <f t="shared" ref="D26:R26" si="2">SUM(D24:D25)</f>
        <v>124.71428571428569</v>
      </c>
      <c r="E26" s="787">
        <f t="shared" si="2"/>
        <v>297.18247200000002</v>
      </c>
      <c r="F26" s="787">
        <f t="shared" si="2"/>
        <v>30.753824021096236</v>
      </c>
      <c r="G26" s="787">
        <f t="shared" si="2"/>
        <v>8424.1828726909025</v>
      </c>
      <c r="H26" s="787">
        <f t="shared" si="2"/>
        <v>0</v>
      </c>
      <c r="I26" s="787">
        <f t="shared" si="2"/>
        <v>0</v>
      </c>
      <c r="J26" s="787">
        <f t="shared" si="2"/>
        <v>0</v>
      </c>
      <c r="K26" s="787">
        <f t="shared" si="2"/>
        <v>509.03597843294688</v>
      </c>
      <c r="L26" s="787">
        <f t="shared" si="2"/>
        <v>0</v>
      </c>
      <c r="M26" s="787">
        <f t="shared" si="2"/>
        <v>0</v>
      </c>
      <c r="N26" s="787">
        <f t="shared" si="2"/>
        <v>0</v>
      </c>
      <c r="O26" s="787">
        <f t="shared" si="2"/>
        <v>0</v>
      </c>
      <c r="P26" s="787">
        <f t="shared" si="2"/>
        <v>0</v>
      </c>
      <c r="Q26" s="787">
        <f t="shared" si="2"/>
        <v>0</v>
      </c>
      <c r="R26" s="787">
        <f t="shared" si="2"/>
        <v>13010.877432859232</v>
      </c>
      <c r="S26" s="67"/>
    </row>
    <row r="27" spans="1:19" s="448" customFormat="1" ht="17.25" thickTop="1" thickBot="1">
      <c r="A27" s="681" t="s">
        <v>115</v>
      </c>
      <c r="B27" s="780"/>
      <c r="C27" s="682">
        <f ca="1">C22+C16+C26</f>
        <v>93773.352029304049</v>
      </c>
      <c r="D27" s="682">
        <f t="shared" ref="D27:R27" ca="1" si="3">D22+D16+D26</f>
        <v>1717.9285714285716</v>
      </c>
      <c r="E27" s="682">
        <f t="shared" ca="1" si="3"/>
        <v>99275.231043781838</v>
      </c>
      <c r="F27" s="682">
        <f t="shared" si="3"/>
        <v>18005.984072497824</v>
      </c>
      <c r="G27" s="682">
        <f t="shared" ca="1" si="3"/>
        <v>85229.852487059383</v>
      </c>
      <c r="H27" s="682">
        <f t="shared" si="3"/>
        <v>48257.904526240316</v>
      </c>
      <c r="I27" s="682">
        <f t="shared" si="3"/>
        <v>9152.0686747007712</v>
      </c>
      <c r="J27" s="682">
        <f t="shared" si="3"/>
        <v>0</v>
      </c>
      <c r="K27" s="682">
        <f t="shared" si="3"/>
        <v>853.76559395183097</v>
      </c>
      <c r="L27" s="682">
        <f t="shared" si="3"/>
        <v>0</v>
      </c>
      <c r="M27" s="682">
        <f t="shared" ca="1" si="3"/>
        <v>0</v>
      </c>
      <c r="N27" s="682">
        <f t="shared" si="3"/>
        <v>3076.1959441699996</v>
      </c>
      <c r="O27" s="682">
        <f t="shared" ca="1" si="3"/>
        <v>22376.914101143822</v>
      </c>
      <c r="P27" s="682">
        <f t="shared" si="3"/>
        <v>303.28666666666669</v>
      </c>
      <c r="Q27" s="682">
        <f t="shared" si="3"/>
        <v>591.06666666666661</v>
      </c>
      <c r="R27" s="682">
        <f t="shared" ca="1" si="3"/>
        <v>382613.55037761171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8955.2791232615509</v>
      </c>
      <c r="D40" s="991">
        <f ca="1">tertiair!C20</f>
        <v>0</v>
      </c>
      <c r="E40" s="991">
        <f ca="1">tertiair!D20</f>
        <v>5679.0113442920001</v>
      </c>
      <c r="F40" s="991">
        <f>tertiair!E20</f>
        <v>50.945992186208777</v>
      </c>
      <c r="G40" s="991">
        <f ca="1">tertiair!F20</f>
        <v>1429.4410976709537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16114.677557410712</v>
      </c>
    </row>
    <row r="41" spans="1:18">
      <c r="A41" s="797" t="s">
        <v>224</v>
      </c>
      <c r="B41" s="804"/>
      <c r="C41" s="991">
        <f ca="1">huishoudens!B12</f>
        <v>4723.5140942882226</v>
      </c>
      <c r="D41" s="991">
        <f ca="1">huishoudens!C12</f>
        <v>0</v>
      </c>
      <c r="E41" s="991">
        <f>huishoudens!D12</f>
        <v>5826.6982541240004</v>
      </c>
      <c r="F41" s="991">
        <f>huishoudens!E12</f>
        <v>3684.249724155145</v>
      </c>
      <c r="G41" s="991">
        <f>huishoudens!F12</f>
        <v>10853.416896016992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25087.878968584359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4093.2198364892006</v>
      </c>
      <c r="D43" s="991">
        <f ca="1">industrie!C22</f>
        <v>0</v>
      </c>
      <c r="E43" s="991">
        <f>industrie!D22</f>
        <v>8484.7906005280001</v>
      </c>
      <c r="F43" s="991">
        <f>industrie!E22</f>
        <v>312.60905786033896</v>
      </c>
      <c r="G43" s="991">
        <f>industrie!F22</f>
        <v>8224.2557933484386</v>
      </c>
      <c r="H43" s="991">
        <f>industrie!G22</f>
        <v>0</v>
      </c>
      <c r="I43" s="991">
        <f>industrie!H22</f>
        <v>0</v>
      </c>
      <c r="J43" s="991">
        <f>industrie!I22</f>
        <v>0</v>
      </c>
      <c r="K43" s="991">
        <f>industrie!J22</f>
        <v>122.03428389368496</v>
      </c>
      <c r="L43" s="991">
        <f>industrie!K22</f>
        <v>0</v>
      </c>
      <c r="M43" s="991">
        <f>industrie!L22</f>
        <v>0</v>
      </c>
      <c r="N43" s="991">
        <f>industrie!M22</f>
        <v>0</v>
      </c>
      <c r="O43" s="991">
        <f>industrie!N22</f>
        <v>0</v>
      </c>
      <c r="P43" s="991">
        <f>industrie!O22</f>
        <v>0</v>
      </c>
      <c r="Q43" s="749">
        <f>industrie!P22</f>
        <v>0</v>
      </c>
      <c r="R43" s="824">
        <f t="shared" ca="1" si="4"/>
        <v>21236.909572119665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17772.013054038973</v>
      </c>
      <c r="D46" s="707">
        <f t="shared" ref="D46:Q46" ca="1" si="5">SUM(D39:D45)</f>
        <v>0</v>
      </c>
      <c r="E46" s="707">
        <f t="shared" ca="1" si="5"/>
        <v>19990.500198943999</v>
      </c>
      <c r="F46" s="707">
        <f t="shared" si="5"/>
        <v>4047.8047742016929</v>
      </c>
      <c r="G46" s="707">
        <f t="shared" ca="1" si="5"/>
        <v>20507.113787036382</v>
      </c>
      <c r="H46" s="707">
        <f t="shared" si="5"/>
        <v>0</v>
      </c>
      <c r="I46" s="707">
        <f t="shared" si="5"/>
        <v>0</v>
      </c>
      <c r="J46" s="707">
        <f t="shared" si="5"/>
        <v>0</v>
      </c>
      <c r="K46" s="707">
        <f t="shared" si="5"/>
        <v>122.03428389368496</v>
      </c>
      <c r="L46" s="707">
        <f t="shared" si="5"/>
        <v>0</v>
      </c>
      <c r="M46" s="707">
        <f t="shared" ca="1" si="5"/>
        <v>0</v>
      </c>
      <c r="N46" s="707">
        <f t="shared" si="5"/>
        <v>0</v>
      </c>
      <c r="O46" s="707">
        <f t="shared" ca="1" si="5"/>
        <v>0</v>
      </c>
      <c r="P46" s="707">
        <f t="shared" si="5"/>
        <v>0</v>
      </c>
      <c r="Q46" s="707">
        <f t="shared" si="5"/>
        <v>0</v>
      </c>
      <c r="R46" s="707">
        <f ca="1">SUM(R39:R45)</f>
        <v>62439.466098114732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268.31013075618034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268.31013075618034</v>
      </c>
    </row>
    <row r="50" spans="1:18">
      <c r="A50" s="800" t="s">
        <v>306</v>
      </c>
      <c r="B50" s="810"/>
      <c r="C50" s="678">
        <f ca="1">transport!B18</f>
        <v>1.3981878750294994</v>
      </c>
      <c r="D50" s="678">
        <f>transport!C18</f>
        <v>0</v>
      </c>
      <c r="E50" s="678">
        <f>transport!D18</f>
        <v>3.0656125559292353</v>
      </c>
      <c r="F50" s="678">
        <f>transport!E18</f>
        <v>32.572492202524749</v>
      </c>
      <c r="G50" s="678">
        <f>transport!F18</f>
        <v>0</v>
      </c>
      <c r="H50" s="678">
        <f>transport!G18</f>
        <v>12616.550377749985</v>
      </c>
      <c r="I50" s="678">
        <f>transport!H18</f>
        <v>2278.865100000492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14932.451770383961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1.3981878750294994</v>
      </c>
      <c r="D52" s="707">
        <f t="shared" ref="D52:Q52" ca="1" si="6">SUM(D48:D51)</f>
        <v>0</v>
      </c>
      <c r="E52" s="707">
        <f t="shared" si="6"/>
        <v>3.0656125559292353</v>
      </c>
      <c r="F52" s="707">
        <f t="shared" si="6"/>
        <v>32.572492202524749</v>
      </c>
      <c r="G52" s="707">
        <f t="shared" si="6"/>
        <v>0</v>
      </c>
      <c r="H52" s="707">
        <f t="shared" si="6"/>
        <v>12884.860508506166</v>
      </c>
      <c r="I52" s="707">
        <f t="shared" si="6"/>
        <v>2278.865100000492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15200.761901140142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654.61770278463769</v>
      </c>
      <c r="D54" s="678">
        <f ca="1">+landbouw!C12</f>
        <v>0</v>
      </c>
      <c r="E54" s="678">
        <f>+landbouw!D12</f>
        <v>7.2947193440000015</v>
      </c>
      <c r="F54" s="678">
        <f>+landbouw!E12</f>
        <v>6.9811180527888457</v>
      </c>
      <c r="G54" s="678">
        <f>+landbouw!F12</f>
        <v>2249.2568270084712</v>
      </c>
      <c r="H54" s="678">
        <f>+landbouw!G12</f>
        <v>0</v>
      </c>
      <c r="I54" s="678">
        <f>+landbouw!H12</f>
        <v>0</v>
      </c>
      <c r="J54" s="678">
        <f>+landbouw!I12</f>
        <v>0</v>
      </c>
      <c r="K54" s="678">
        <f>+landbouw!J12</f>
        <v>180.19873636526319</v>
      </c>
      <c r="L54" s="678">
        <f>+landbouw!K12</f>
        <v>0</v>
      </c>
      <c r="M54" s="678">
        <f>+landbouw!L12</f>
        <v>0</v>
      </c>
      <c r="N54" s="678">
        <f>+landbouw!M12</f>
        <v>0</v>
      </c>
      <c r="O54" s="678">
        <f>+landbouw!N12</f>
        <v>0</v>
      </c>
      <c r="P54" s="678">
        <f>+landbouw!O12</f>
        <v>0</v>
      </c>
      <c r="Q54" s="679">
        <f>+landbouw!P12</f>
        <v>0</v>
      </c>
      <c r="R54" s="706">
        <f ca="1">SUM(C54:Q54)</f>
        <v>3098.349103555161</v>
      </c>
    </row>
    <row r="55" spans="1:18" ht="15" thickBot="1">
      <c r="A55" s="800" t="s">
        <v>849</v>
      </c>
      <c r="B55" s="810"/>
      <c r="C55" s="678">
        <f ca="1">C25*'EF ele_warmte'!B12</f>
        <v>60.079373828158189</v>
      </c>
      <c r="D55" s="678"/>
      <c r="E55" s="678">
        <f>E25*EF_CO2_aardgas</f>
        <v>52.736139999999999</v>
      </c>
      <c r="F55" s="678"/>
      <c r="G55" s="678"/>
      <c r="H55" s="678"/>
      <c r="I55" s="678"/>
      <c r="J55" s="678"/>
      <c r="K55" s="678"/>
      <c r="L55" s="678"/>
      <c r="M55" s="678"/>
      <c r="N55" s="678"/>
      <c r="O55" s="678"/>
      <c r="P55" s="678"/>
      <c r="Q55" s="679"/>
      <c r="R55" s="706">
        <f ca="1">SUM(C55:Q55)</f>
        <v>112.81551382815819</v>
      </c>
    </row>
    <row r="56" spans="1:18" ht="15.75" thickBot="1">
      <c r="A56" s="798" t="s">
        <v>850</v>
      </c>
      <c r="B56" s="811"/>
      <c r="C56" s="707">
        <f ca="1">SUM(C54:C55)</f>
        <v>714.69707661279585</v>
      </c>
      <c r="D56" s="707">
        <f t="shared" ref="D56:Q56" ca="1" si="7">SUM(D54:D55)</f>
        <v>0</v>
      </c>
      <c r="E56" s="707">
        <f t="shared" si="7"/>
        <v>60.030859344</v>
      </c>
      <c r="F56" s="707">
        <f t="shared" si="7"/>
        <v>6.9811180527888457</v>
      </c>
      <c r="G56" s="707">
        <f t="shared" si="7"/>
        <v>2249.2568270084712</v>
      </c>
      <c r="H56" s="707">
        <f t="shared" si="7"/>
        <v>0</v>
      </c>
      <c r="I56" s="707">
        <f t="shared" si="7"/>
        <v>0</v>
      </c>
      <c r="J56" s="707">
        <f t="shared" si="7"/>
        <v>0</v>
      </c>
      <c r="K56" s="707">
        <f t="shared" si="7"/>
        <v>180.19873636526319</v>
      </c>
      <c r="L56" s="707">
        <f t="shared" si="7"/>
        <v>0</v>
      </c>
      <c r="M56" s="707">
        <f t="shared" si="7"/>
        <v>0</v>
      </c>
      <c r="N56" s="707">
        <f t="shared" si="7"/>
        <v>0</v>
      </c>
      <c r="O56" s="707">
        <f t="shared" si="7"/>
        <v>0</v>
      </c>
      <c r="P56" s="707">
        <f t="shared" si="7"/>
        <v>0</v>
      </c>
      <c r="Q56" s="708">
        <f t="shared" si="7"/>
        <v>0</v>
      </c>
      <c r="R56" s="709">
        <f ca="1">SUM(R54:R55)</f>
        <v>3211.1646173833192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18488.1083185268</v>
      </c>
      <c r="D61" s="715">
        <f t="shared" ref="D61:Q61" ca="1" si="8">D46+D52+D56</f>
        <v>0</v>
      </c>
      <c r="E61" s="715">
        <f t="shared" ca="1" si="8"/>
        <v>20053.596670843926</v>
      </c>
      <c r="F61" s="715">
        <f t="shared" si="8"/>
        <v>4087.3583844570067</v>
      </c>
      <c r="G61" s="715">
        <f t="shared" ca="1" si="8"/>
        <v>22756.370614044852</v>
      </c>
      <c r="H61" s="715">
        <f t="shared" si="8"/>
        <v>12884.860508506166</v>
      </c>
      <c r="I61" s="715">
        <f t="shared" si="8"/>
        <v>2278.865100000492</v>
      </c>
      <c r="J61" s="715">
        <f t="shared" si="8"/>
        <v>0</v>
      </c>
      <c r="K61" s="715">
        <f t="shared" si="8"/>
        <v>302.23302025894816</v>
      </c>
      <c r="L61" s="715">
        <f t="shared" si="8"/>
        <v>0</v>
      </c>
      <c r="M61" s="715">
        <f t="shared" ca="1" si="8"/>
        <v>0</v>
      </c>
      <c r="N61" s="715">
        <f t="shared" si="8"/>
        <v>0</v>
      </c>
      <c r="O61" s="715">
        <f t="shared" ca="1" si="8"/>
        <v>0</v>
      </c>
      <c r="P61" s="715">
        <f t="shared" si="8"/>
        <v>0</v>
      </c>
      <c r="Q61" s="715">
        <f t="shared" si="8"/>
        <v>0</v>
      </c>
      <c r="R61" s="715">
        <f ca="1">R46+R52+R56</f>
        <v>80851.392616638186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0.19715737913207251</v>
      </c>
      <c r="D63" s="756">
        <f t="shared" ca="1" si="9"/>
        <v>0</v>
      </c>
      <c r="E63" s="1002">
        <f t="shared" ca="1" si="9"/>
        <v>0.20199999999999996</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394.47533632286996</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8519.7279666155755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1202.55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1414.7647058823527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10116.753302938445</v>
      </c>
      <c r="C78" s="730">
        <f>SUM(C72:C77)</f>
        <v>0</v>
      </c>
      <c r="D78" s="731">
        <f t="shared" ref="D78:H78" si="10">SUM(D76:D77)</f>
        <v>0</v>
      </c>
      <c r="E78" s="731">
        <f t="shared" si="10"/>
        <v>0</v>
      </c>
      <c r="F78" s="731">
        <f t="shared" si="10"/>
        <v>0</v>
      </c>
      <c r="G78" s="731">
        <f t="shared" si="10"/>
        <v>0</v>
      </c>
      <c r="H78" s="731">
        <f t="shared" si="10"/>
        <v>0</v>
      </c>
      <c r="I78" s="731">
        <f>SUM(I76:I77)</f>
        <v>0</v>
      </c>
      <c r="J78" s="731">
        <f>SUM(J76:J77)</f>
        <v>1414.7647058823527</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1717.9285714285716</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2021.0924369747902</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1717.9285714285716</v>
      </c>
      <c r="C90" s="730">
        <f>SUM(C87:C89)</f>
        <v>0</v>
      </c>
      <c r="D90" s="730">
        <f t="shared" ref="D90:H90" si="12">SUM(D87:D89)</f>
        <v>0</v>
      </c>
      <c r="E90" s="730">
        <f t="shared" si="12"/>
        <v>0</v>
      </c>
      <c r="F90" s="730">
        <f t="shared" si="12"/>
        <v>0</v>
      </c>
      <c r="G90" s="730">
        <f t="shared" si="12"/>
        <v>0</v>
      </c>
      <c r="H90" s="730">
        <f t="shared" si="12"/>
        <v>0</v>
      </c>
      <c r="I90" s="730">
        <f>SUM(I87:I89)</f>
        <v>0</v>
      </c>
      <c r="J90" s="730">
        <f>SUM(J87:J89)</f>
        <v>2021.0924369747902</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23958.089294360208</v>
      </c>
      <c r="C4" s="452">
        <f>huishoudens!C8</f>
        <v>0</v>
      </c>
      <c r="D4" s="452">
        <f>huishoudens!D8</f>
        <v>28845.040862000002</v>
      </c>
      <c r="E4" s="452">
        <f>huishoudens!E8</f>
        <v>16230.174996278172</v>
      </c>
      <c r="F4" s="452">
        <f>huishoudens!F8</f>
        <v>40649.501483209708</v>
      </c>
      <c r="G4" s="452">
        <f>huishoudens!G8</f>
        <v>0</v>
      </c>
      <c r="H4" s="452">
        <f>huishoudens!H8</f>
        <v>0</v>
      </c>
      <c r="I4" s="452">
        <f>huishoudens!I8</f>
        <v>0</v>
      </c>
      <c r="J4" s="452">
        <f>huishoudens!J8</f>
        <v>0</v>
      </c>
      <c r="K4" s="452">
        <f>huishoudens!K8</f>
        <v>0</v>
      </c>
      <c r="L4" s="452">
        <f>huishoudens!L8</f>
        <v>0</v>
      </c>
      <c r="M4" s="452">
        <f>huishoudens!M8</f>
        <v>0</v>
      </c>
      <c r="N4" s="452">
        <f>huishoudens!N8</f>
        <v>14420.945386000458</v>
      </c>
      <c r="O4" s="452">
        <f>huishoudens!O8</f>
        <v>293.90666666666669</v>
      </c>
      <c r="P4" s="453">
        <f>huishoudens!P8</f>
        <v>591.06666666666661</v>
      </c>
      <c r="Q4" s="454">
        <f>SUM(B4:P4)</f>
        <v>124988.72535518187</v>
      </c>
    </row>
    <row r="5" spans="1:17">
      <c r="A5" s="451" t="s">
        <v>155</v>
      </c>
      <c r="B5" s="452">
        <f ca="1">tertiair!B16</f>
        <v>44500.82</v>
      </c>
      <c r="C5" s="452">
        <f ca="1">tertiair!C16</f>
        <v>1593.2142857142858</v>
      </c>
      <c r="D5" s="452">
        <f ca="1">tertiair!D16</f>
        <v>28113.917545999997</v>
      </c>
      <c r="E5" s="452">
        <f>tertiair!E16</f>
        <v>224.43168363968624</v>
      </c>
      <c r="F5" s="452">
        <f ca="1">tertiair!F16</f>
        <v>5353.7119762957063</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9.3800000000000008</v>
      </c>
      <c r="P5" s="453">
        <f>tertiair!P16</f>
        <v>0</v>
      </c>
      <c r="Q5" s="451">
        <f t="shared" ref="Q5:Q14" ca="1" si="0">SUM(B5:P5)</f>
        <v>79795.475491649675</v>
      </c>
    </row>
    <row r="6" spans="1:17">
      <c r="A6" s="451" t="s">
        <v>193</v>
      </c>
      <c r="B6" s="452">
        <f>'openbare verlichting'!B8</f>
        <v>921.16300000000001</v>
      </c>
      <c r="C6" s="452"/>
      <c r="D6" s="452"/>
      <c r="E6" s="452"/>
      <c r="F6" s="452"/>
      <c r="G6" s="452"/>
      <c r="H6" s="452"/>
      <c r="I6" s="452"/>
      <c r="J6" s="452"/>
      <c r="K6" s="452"/>
      <c r="L6" s="452"/>
      <c r="M6" s="452"/>
      <c r="N6" s="452"/>
      <c r="O6" s="452"/>
      <c r="P6" s="453"/>
      <c r="Q6" s="451">
        <f t="shared" si="0"/>
        <v>921.16300000000001</v>
      </c>
    </row>
    <row r="7" spans="1:17">
      <c r="A7" s="451" t="s">
        <v>111</v>
      </c>
      <c r="B7" s="452">
        <f>landbouw!B8</f>
        <v>3320.28</v>
      </c>
      <c r="C7" s="452">
        <f>landbouw!C8</f>
        <v>124.71428571428569</v>
      </c>
      <c r="D7" s="452">
        <f>landbouw!D8</f>
        <v>36.112472000000004</v>
      </c>
      <c r="E7" s="452">
        <f>landbouw!E8</f>
        <v>30.753824021096236</v>
      </c>
      <c r="F7" s="452">
        <f>landbouw!F8</f>
        <v>8424.1828726909025</v>
      </c>
      <c r="G7" s="452">
        <f>landbouw!G8</f>
        <v>0</v>
      </c>
      <c r="H7" s="452">
        <f>landbouw!H8</f>
        <v>0</v>
      </c>
      <c r="I7" s="452">
        <f>landbouw!I8</f>
        <v>0</v>
      </c>
      <c r="J7" s="452">
        <f>landbouw!J8</f>
        <v>509.03597843294688</v>
      </c>
      <c r="K7" s="452">
        <f>landbouw!K8</f>
        <v>0</v>
      </c>
      <c r="L7" s="452">
        <f>landbouw!L8</f>
        <v>0</v>
      </c>
      <c r="M7" s="452">
        <f>landbouw!M8</f>
        <v>0</v>
      </c>
      <c r="N7" s="452">
        <f>landbouw!N8</f>
        <v>0</v>
      </c>
      <c r="O7" s="452">
        <f>landbouw!O8</f>
        <v>0</v>
      </c>
      <c r="P7" s="453">
        <f>landbouw!P8</f>
        <v>0</v>
      </c>
      <c r="Q7" s="451">
        <f t="shared" si="0"/>
        <v>12445.079432859231</v>
      </c>
    </row>
    <row r="8" spans="1:17">
      <c r="A8" s="451" t="s">
        <v>649</v>
      </c>
      <c r="B8" s="452">
        <f>industrie!B18</f>
        <v>20761.18</v>
      </c>
      <c r="C8" s="452">
        <f>industrie!C18</f>
        <v>0</v>
      </c>
      <c r="D8" s="452">
        <f>industrie!D18</f>
        <v>42003.913864000002</v>
      </c>
      <c r="E8" s="452">
        <f>industrie!E18</f>
        <v>1377.1324134816693</v>
      </c>
      <c r="F8" s="452">
        <f>industrie!F18</f>
        <v>30802.456154863066</v>
      </c>
      <c r="G8" s="452">
        <f>industrie!G18</f>
        <v>0</v>
      </c>
      <c r="H8" s="452">
        <f>industrie!H18</f>
        <v>0</v>
      </c>
      <c r="I8" s="452">
        <f>industrie!I18</f>
        <v>0</v>
      </c>
      <c r="J8" s="452">
        <f>industrie!J18</f>
        <v>344.72961551888409</v>
      </c>
      <c r="K8" s="452">
        <f>industrie!K18</f>
        <v>0</v>
      </c>
      <c r="L8" s="452">
        <f>industrie!L18</f>
        <v>0</v>
      </c>
      <c r="M8" s="452">
        <f>industrie!M18</f>
        <v>0</v>
      </c>
      <c r="N8" s="452">
        <f>industrie!N18</f>
        <v>7955.9687151433636</v>
      </c>
      <c r="O8" s="452">
        <f>industrie!O18</f>
        <v>0</v>
      </c>
      <c r="P8" s="453">
        <f>industrie!P18</f>
        <v>0</v>
      </c>
      <c r="Q8" s="451">
        <f t="shared" si="0"/>
        <v>103245.38076300698</v>
      </c>
    </row>
    <row r="9" spans="1:17" s="457" customFormat="1">
      <c r="A9" s="455" t="s">
        <v>570</v>
      </c>
      <c r="B9" s="456">
        <f>transport!B14</f>
        <v>7.0917349438535409</v>
      </c>
      <c r="C9" s="456">
        <f>transport!C14</f>
        <v>0</v>
      </c>
      <c r="D9" s="456">
        <f>transport!D14</f>
        <v>15.176299781827897</v>
      </c>
      <c r="E9" s="456">
        <f>transport!E14</f>
        <v>143.49115507720154</v>
      </c>
      <c r="F9" s="456">
        <f>transport!F14</f>
        <v>0</v>
      </c>
      <c r="G9" s="456">
        <f>transport!G14</f>
        <v>47252.997669475597</v>
      </c>
      <c r="H9" s="456">
        <f>transport!H14</f>
        <v>9152.0686747007712</v>
      </c>
      <c r="I9" s="456">
        <f>transport!I14</f>
        <v>0</v>
      </c>
      <c r="J9" s="456">
        <f>transport!J14</f>
        <v>0</v>
      </c>
      <c r="K9" s="456">
        <f>transport!K14</f>
        <v>0</v>
      </c>
      <c r="L9" s="456">
        <f>transport!L14</f>
        <v>0</v>
      </c>
      <c r="M9" s="456">
        <f>transport!M14</f>
        <v>3018.7585268802563</v>
      </c>
      <c r="N9" s="456">
        <f>transport!N14</f>
        <v>0</v>
      </c>
      <c r="O9" s="456">
        <f>transport!O14</f>
        <v>0</v>
      </c>
      <c r="P9" s="456">
        <f>transport!P14</f>
        <v>0</v>
      </c>
      <c r="Q9" s="455">
        <f>SUM(B9:P9)</f>
        <v>59589.58406085951</v>
      </c>
    </row>
    <row r="10" spans="1:17">
      <c r="A10" s="451" t="s">
        <v>560</v>
      </c>
      <c r="B10" s="452">
        <f>transport!B54</f>
        <v>0</v>
      </c>
      <c r="C10" s="452">
        <f>transport!C54</f>
        <v>0</v>
      </c>
      <c r="D10" s="452">
        <f>transport!D54</f>
        <v>0</v>
      </c>
      <c r="E10" s="452">
        <f>transport!E54</f>
        <v>0</v>
      </c>
      <c r="F10" s="452">
        <f>transport!F54</f>
        <v>0</v>
      </c>
      <c r="G10" s="452">
        <f>transport!G54</f>
        <v>1004.9068567647204</v>
      </c>
      <c r="H10" s="452">
        <f>transport!H54</f>
        <v>0</v>
      </c>
      <c r="I10" s="452">
        <f>transport!I54</f>
        <v>0</v>
      </c>
      <c r="J10" s="452">
        <f>transport!J54</f>
        <v>0</v>
      </c>
      <c r="K10" s="452">
        <f>transport!K54</f>
        <v>0</v>
      </c>
      <c r="L10" s="452">
        <f>transport!L54</f>
        <v>0</v>
      </c>
      <c r="M10" s="452">
        <f>transport!M54</f>
        <v>57.437417289743436</v>
      </c>
      <c r="N10" s="452">
        <f>transport!N54</f>
        <v>0</v>
      </c>
      <c r="O10" s="452">
        <f>transport!O54</f>
        <v>0</v>
      </c>
      <c r="P10" s="453">
        <f>transport!P54</f>
        <v>0</v>
      </c>
      <c r="Q10" s="451">
        <f t="shared" si="0"/>
        <v>1062.3442740544638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304.72800000000001</v>
      </c>
      <c r="C14" s="459"/>
      <c r="D14" s="459">
        <f>'SEAP template'!E25</f>
        <v>261.07</v>
      </c>
      <c r="E14" s="459"/>
      <c r="F14" s="459"/>
      <c r="G14" s="459"/>
      <c r="H14" s="459"/>
      <c r="I14" s="459"/>
      <c r="J14" s="459"/>
      <c r="K14" s="459"/>
      <c r="L14" s="459"/>
      <c r="M14" s="459"/>
      <c r="N14" s="459"/>
      <c r="O14" s="459"/>
      <c r="P14" s="460"/>
      <c r="Q14" s="451">
        <f t="shared" si="0"/>
        <v>565.798</v>
      </c>
    </row>
    <row r="15" spans="1:17" s="461" customFormat="1">
      <c r="A15" s="1017" t="s">
        <v>564</v>
      </c>
      <c r="B15" s="957">
        <f ca="1">SUM(B4:B14)</f>
        <v>93773.352029304049</v>
      </c>
      <c r="C15" s="957">
        <f t="shared" ref="C15:Q15" ca="1" si="1">SUM(C4:C14)</f>
        <v>1717.9285714285716</v>
      </c>
      <c r="D15" s="957">
        <f t="shared" ca="1" si="1"/>
        <v>99275.231043781838</v>
      </c>
      <c r="E15" s="957">
        <f t="shared" si="1"/>
        <v>18005.984072497824</v>
      </c>
      <c r="F15" s="957">
        <f t="shared" ca="1" si="1"/>
        <v>85229.852487059383</v>
      </c>
      <c r="G15" s="957">
        <f t="shared" si="1"/>
        <v>48257.904526240316</v>
      </c>
      <c r="H15" s="957">
        <f t="shared" si="1"/>
        <v>9152.0686747007712</v>
      </c>
      <c r="I15" s="957">
        <f t="shared" si="1"/>
        <v>0</v>
      </c>
      <c r="J15" s="957">
        <f t="shared" si="1"/>
        <v>853.76559395183097</v>
      </c>
      <c r="K15" s="957">
        <f t="shared" si="1"/>
        <v>0</v>
      </c>
      <c r="L15" s="957">
        <f t="shared" ca="1" si="1"/>
        <v>0</v>
      </c>
      <c r="M15" s="957">
        <f t="shared" si="1"/>
        <v>3076.1959441699996</v>
      </c>
      <c r="N15" s="957">
        <f t="shared" ca="1" si="1"/>
        <v>22376.914101143822</v>
      </c>
      <c r="O15" s="957">
        <f t="shared" si="1"/>
        <v>303.28666666666669</v>
      </c>
      <c r="P15" s="957">
        <f t="shared" si="1"/>
        <v>591.06666666666661</v>
      </c>
      <c r="Q15" s="957">
        <f t="shared" ca="1" si="1"/>
        <v>382613.55037761177</v>
      </c>
    </row>
    <row r="17" spans="1:17">
      <c r="A17" s="462" t="s">
        <v>565</v>
      </c>
      <c r="B17" s="761">
        <f ca="1">huishoudens!B10</f>
        <v>0.19715737913207249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4723.5140942882226</v>
      </c>
      <c r="C22" s="452">
        <f t="shared" ref="C22:C32" ca="1" si="3">C4*$C$17</f>
        <v>0</v>
      </c>
      <c r="D22" s="452">
        <f t="shared" ref="D22:D32" si="4">D4*$D$17</f>
        <v>5826.6982541240004</v>
      </c>
      <c r="E22" s="452">
        <f t="shared" ref="E22:E32" si="5">E4*$E$17</f>
        <v>3684.249724155145</v>
      </c>
      <c r="F22" s="452">
        <f t="shared" ref="F22:F32" si="6">F4*$F$17</f>
        <v>10853.416896016992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25087.878968584359</v>
      </c>
    </row>
    <row r="23" spans="1:17">
      <c r="A23" s="451" t="s">
        <v>155</v>
      </c>
      <c r="B23" s="452">
        <f t="shared" ca="1" si="2"/>
        <v>8773.6650404281136</v>
      </c>
      <c r="C23" s="452">
        <f t="shared" ca="1" si="3"/>
        <v>0</v>
      </c>
      <c r="D23" s="452">
        <f t="shared" ca="1" si="4"/>
        <v>5679.0113442920001</v>
      </c>
      <c r="E23" s="452">
        <f t="shared" si="5"/>
        <v>50.945992186208777</v>
      </c>
      <c r="F23" s="452">
        <f t="shared" ca="1" si="6"/>
        <v>1429.4410976709537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15933.063474577277</v>
      </c>
    </row>
    <row r="24" spans="1:17">
      <c r="A24" s="451" t="s">
        <v>193</v>
      </c>
      <c r="B24" s="452">
        <f t="shared" ca="1" si="2"/>
        <v>181.61408283343729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181.61408283343729</v>
      </c>
    </row>
    <row r="25" spans="1:17">
      <c r="A25" s="451" t="s">
        <v>111</v>
      </c>
      <c r="B25" s="452">
        <f t="shared" ca="1" si="2"/>
        <v>654.61770278463769</v>
      </c>
      <c r="C25" s="452">
        <f t="shared" ca="1" si="3"/>
        <v>0</v>
      </c>
      <c r="D25" s="452">
        <f t="shared" si="4"/>
        <v>7.2947193440000015</v>
      </c>
      <c r="E25" s="452">
        <f t="shared" si="5"/>
        <v>6.9811180527888457</v>
      </c>
      <c r="F25" s="452">
        <f t="shared" si="6"/>
        <v>2249.2568270084712</v>
      </c>
      <c r="G25" s="452">
        <f t="shared" si="7"/>
        <v>0</v>
      </c>
      <c r="H25" s="452">
        <f t="shared" si="8"/>
        <v>0</v>
      </c>
      <c r="I25" s="452">
        <f t="shared" si="9"/>
        <v>0</v>
      </c>
      <c r="J25" s="452">
        <f t="shared" si="10"/>
        <v>180.19873636526319</v>
      </c>
      <c r="K25" s="452">
        <f t="shared" si="11"/>
        <v>0</v>
      </c>
      <c r="L25" s="452">
        <f t="shared" si="12"/>
        <v>0</v>
      </c>
      <c r="M25" s="452">
        <f t="shared" si="13"/>
        <v>0</v>
      </c>
      <c r="N25" s="452">
        <f t="shared" si="14"/>
        <v>0</v>
      </c>
      <c r="O25" s="452">
        <f t="shared" si="15"/>
        <v>0</v>
      </c>
      <c r="P25" s="453">
        <f t="shared" si="16"/>
        <v>0</v>
      </c>
      <c r="Q25" s="451">
        <f t="shared" ca="1" si="17"/>
        <v>3098.349103555161</v>
      </c>
    </row>
    <row r="26" spans="1:17">
      <c r="A26" s="451" t="s">
        <v>649</v>
      </c>
      <c r="B26" s="452">
        <f t="shared" ca="1" si="2"/>
        <v>4093.2198364892006</v>
      </c>
      <c r="C26" s="452">
        <f t="shared" ca="1" si="3"/>
        <v>0</v>
      </c>
      <c r="D26" s="452">
        <f t="shared" si="4"/>
        <v>8484.7906005280001</v>
      </c>
      <c r="E26" s="452">
        <f t="shared" si="5"/>
        <v>312.60905786033896</v>
      </c>
      <c r="F26" s="452">
        <f t="shared" si="6"/>
        <v>8224.2557933484386</v>
      </c>
      <c r="G26" s="452">
        <f t="shared" si="7"/>
        <v>0</v>
      </c>
      <c r="H26" s="452">
        <f t="shared" si="8"/>
        <v>0</v>
      </c>
      <c r="I26" s="452">
        <f t="shared" si="9"/>
        <v>0</v>
      </c>
      <c r="J26" s="452">
        <f t="shared" si="10"/>
        <v>122.03428389368496</v>
      </c>
      <c r="K26" s="452">
        <f t="shared" si="11"/>
        <v>0</v>
      </c>
      <c r="L26" s="452">
        <f t="shared" si="12"/>
        <v>0</v>
      </c>
      <c r="M26" s="452">
        <f t="shared" si="13"/>
        <v>0</v>
      </c>
      <c r="N26" s="452">
        <f t="shared" si="14"/>
        <v>0</v>
      </c>
      <c r="O26" s="452">
        <f t="shared" si="15"/>
        <v>0</v>
      </c>
      <c r="P26" s="453">
        <f t="shared" si="16"/>
        <v>0</v>
      </c>
      <c r="Q26" s="451">
        <f t="shared" ca="1" si="17"/>
        <v>21236.909572119665</v>
      </c>
    </row>
    <row r="27" spans="1:17" s="457" customFormat="1">
      <c r="A27" s="455" t="s">
        <v>570</v>
      </c>
      <c r="B27" s="755">
        <f t="shared" ca="1" si="2"/>
        <v>1.3981878750294994</v>
      </c>
      <c r="C27" s="456">
        <f t="shared" ca="1" si="3"/>
        <v>0</v>
      </c>
      <c r="D27" s="456">
        <f t="shared" si="4"/>
        <v>3.0656125559292353</v>
      </c>
      <c r="E27" s="456">
        <f t="shared" si="5"/>
        <v>32.572492202524749</v>
      </c>
      <c r="F27" s="456">
        <f t="shared" si="6"/>
        <v>0</v>
      </c>
      <c r="G27" s="456">
        <f t="shared" si="7"/>
        <v>12616.550377749985</v>
      </c>
      <c r="H27" s="456">
        <f t="shared" si="8"/>
        <v>2278.865100000492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14932.451770383961</v>
      </c>
    </row>
    <row r="28" spans="1:17">
      <c r="A28" s="451" t="s">
        <v>560</v>
      </c>
      <c r="B28" s="452">
        <f t="shared" ca="1" si="2"/>
        <v>0</v>
      </c>
      <c r="C28" s="452">
        <f t="shared" ca="1" si="3"/>
        <v>0</v>
      </c>
      <c r="D28" s="452">
        <f t="shared" si="4"/>
        <v>0</v>
      </c>
      <c r="E28" s="452">
        <f t="shared" si="5"/>
        <v>0</v>
      </c>
      <c r="F28" s="452">
        <f t="shared" si="6"/>
        <v>0</v>
      </c>
      <c r="G28" s="452">
        <f t="shared" si="7"/>
        <v>268.31013075618034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268.31013075618034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60.079373828158189</v>
      </c>
      <c r="C32" s="452">
        <f t="shared" ca="1" si="3"/>
        <v>0</v>
      </c>
      <c r="D32" s="452">
        <f t="shared" si="4"/>
        <v>52.736139999999999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112.81551382815819</v>
      </c>
    </row>
    <row r="33" spans="1:17" s="461" customFormat="1">
      <c r="A33" s="1017" t="s">
        <v>564</v>
      </c>
      <c r="B33" s="957">
        <f ca="1">SUM(B22:B32)</f>
        <v>18488.1083185268</v>
      </c>
      <c r="C33" s="957">
        <f t="shared" ref="C33:Q33" ca="1" si="18">SUM(C22:C32)</f>
        <v>0</v>
      </c>
      <c r="D33" s="957">
        <f t="shared" ca="1" si="18"/>
        <v>20053.59667084393</v>
      </c>
      <c r="E33" s="957">
        <f t="shared" si="18"/>
        <v>4087.3583844570067</v>
      </c>
      <c r="F33" s="957">
        <f t="shared" ca="1" si="18"/>
        <v>22756.370614044856</v>
      </c>
      <c r="G33" s="957">
        <f t="shared" si="18"/>
        <v>12884.860508506166</v>
      </c>
      <c r="H33" s="957">
        <f t="shared" si="18"/>
        <v>2278.865100000492</v>
      </c>
      <c r="I33" s="957">
        <f t="shared" si="18"/>
        <v>0</v>
      </c>
      <c r="J33" s="957">
        <f t="shared" si="18"/>
        <v>302.23302025894816</v>
      </c>
      <c r="K33" s="957">
        <f t="shared" si="18"/>
        <v>0</v>
      </c>
      <c r="L33" s="957">
        <f t="shared" ca="1" si="18"/>
        <v>0</v>
      </c>
      <c r="M33" s="957">
        <f t="shared" si="18"/>
        <v>0</v>
      </c>
      <c r="N33" s="957">
        <f t="shared" ca="1" si="18"/>
        <v>0</v>
      </c>
      <c r="O33" s="957">
        <f t="shared" si="18"/>
        <v>0</v>
      </c>
      <c r="P33" s="957">
        <f t="shared" si="18"/>
        <v>0</v>
      </c>
      <c r="Q33" s="957">
        <f t="shared" ca="1" si="18"/>
        <v>80851.392616638201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394.47533632286996</v>
      </c>
      <c r="C5" s="1034"/>
      <c r="D5" s="1034"/>
      <c r="E5" s="1034"/>
      <c r="F5" s="1034"/>
      <c r="G5" s="1034"/>
      <c r="H5" s="1034"/>
      <c r="I5" s="1034"/>
      <c r="J5" s="1034"/>
      <c r="K5" s="1034"/>
      <c r="L5" s="1034"/>
      <c r="M5" s="1034"/>
      <c r="N5" s="1034"/>
      <c r="O5" s="1034"/>
      <c r="P5" s="1035">
        <f>'SEAP template'!Q73</f>
        <v>0</v>
      </c>
    </row>
    <row r="6" spans="1:16">
      <c r="A6" s="1036" t="s">
        <v>250</v>
      </c>
      <c r="B6" s="1034">
        <f>'SEAP template'!B74</f>
        <v>8519.7279666155755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1202.55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1414.7647058823527</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10116.753302938445</v>
      </c>
      <c r="C10" s="1038">
        <f>SUM(C4:C9)</f>
        <v>0</v>
      </c>
      <c r="D10" s="1038">
        <f t="shared" ref="D10:H10" si="0">SUM(D8:D9)</f>
        <v>0</v>
      </c>
      <c r="E10" s="1038">
        <f t="shared" si="0"/>
        <v>0</v>
      </c>
      <c r="F10" s="1038">
        <f t="shared" si="0"/>
        <v>0</v>
      </c>
      <c r="G10" s="1038">
        <f t="shared" si="0"/>
        <v>0</v>
      </c>
      <c r="H10" s="1038">
        <f t="shared" si="0"/>
        <v>0</v>
      </c>
      <c r="I10" s="1038">
        <f>SUM(I8:I9)</f>
        <v>0</v>
      </c>
      <c r="J10" s="1038">
        <f>SUM(J8:J9)</f>
        <v>1414.7647058823527</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0.19715737913207249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1717.9285714285716</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2021.0924369747902</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1717.9285714285716</v>
      </c>
      <c r="C20" s="1038">
        <f>SUM(C17:C19)</f>
        <v>0</v>
      </c>
      <c r="D20" s="1038">
        <f t="shared" ref="D20:H20" si="2">SUM(D17:D19)</f>
        <v>0</v>
      </c>
      <c r="E20" s="1038">
        <f t="shared" si="2"/>
        <v>0</v>
      </c>
      <c r="F20" s="1038">
        <f t="shared" si="2"/>
        <v>0</v>
      </c>
      <c r="G20" s="1038">
        <f t="shared" si="2"/>
        <v>0</v>
      </c>
      <c r="H20" s="1038">
        <f t="shared" si="2"/>
        <v>0</v>
      </c>
      <c r="I20" s="1038">
        <f>SUM(I17:I19)</f>
        <v>0</v>
      </c>
      <c r="J20" s="1038">
        <f>SUM(J17:J19)</f>
        <v>2021.0924369747902</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0.19715737913207249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0.19715737913207249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0.19715737913207249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3146</v>
      </c>
      <c r="C14" s="330"/>
      <c r="D14" s="330"/>
      <c r="E14" s="330"/>
      <c r="F14" s="330"/>
    </row>
    <row r="15" spans="1:6">
      <c r="A15" s="1305" t="s">
        <v>183</v>
      </c>
      <c r="B15" s="1306">
        <v>69</v>
      </c>
      <c r="C15" s="330"/>
      <c r="D15" s="330"/>
      <c r="E15" s="330"/>
      <c r="F15" s="330"/>
    </row>
    <row r="16" spans="1:6">
      <c r="A16" s="1305" t="s">
        <v>6</v>
      </c>
      <c r="B16" s="1306">
        <v>3517</v>
      </c>
      <c r="C16" s="330"/>
      <c r="D16" s="330"/>
      <c r="E16" s="330"/>
      <c r="F16" s="330"/>
    </row>
    <row r="17" spans="1:6">
      <c r="A17" s="1305" t="s">
        <v>7</v>
      </c>
      <c r="B17" s="1306">
        <v>369</v>
      </c>
      <c r="C17" s="330"/>
      <c r="D17" s="330"/>
      <c r="E17" s="330"/>
      <c r="F17" s="330"/>
    </row>
    <row r="18" spans="1:6">
      <c r="A18" s="1305" t="s">
        <v>8</v>
      </c>
      <c r="B18" s="1306">
        <v>1860</v>
      </c>
      <c r="C18" s="330"/>
      <c r="D18" s="330"/>
      <c r="E18" s="330"/>
      <c r="F18" s="330"/>
    </row>
    <row r="19" spans="1:6">
      <c r="A19" s="1305" t="s">
        <v>9</v>
      </c>
      <c r="B19" s="1306">
        <v>1820</v>
      </c>
      <c r="C19" s="330"/>
      <c r="D19" s="330"/>
      <c r="E19" s="330"/>
      <c r="F19" s="330"/>
    </row>
    <row r="20" spans="1:6">
      <c r="A20" s="1305" t="s">
        <v>10</v>
      </c>
      <c r="B20" s="1306">
        <v>985</v>
      </c>
      <c r="C20" s="330"/>
      <c r="D20" s="330"/>
      <c r="E20" s="330"/>
      <c r="F20" s="330"/>
    </row>
    <row r="21" spans="1:6">
      <c r="A21" s="1305" t="s">
        <v>11</v>
      </c>
      <c r="B21" s="1306">
        <v>11408</v>
      </c>
      <c r="C21" s="330"/>
      <c r="D21" s="330"/>
      <c r="E21" s="330"/>
      <c r="F21" s="330"/>
    </row>
    <row r="22" spans="1:6">
      <c r="A22" s="1305" t="s">
        <v>12</v>
      </c>
      <c r="B22" s="1306">
        <v>25126</v>
      </c>
      <c r="C22" s="330"/>
      <c r="D22" s="330"/>
      <c r="E22" s="330"/>
      <c r="F22" s="330"/>
    </row>
    <row r="23" spans="1:6">
      <c r="A23" s="1305" t="s">
        <v>13</v>
      </c>
      <c r="B23" s="1306">
        <v>713</v>
      </c>
      <c r="C23" s="330"/>
      <c r="D23" s="330"/>
      <c r="E23" s="330"/>
      <c r="F23" s="330"/>
    </row>
    <row r="24" spans="1:6">
      <c r="A24" s="1305" t="s">
        <v>14</v>
      </c>
      <c r="B24" s="1306">
        <v>18</v>
      </c>
      <c r="C24" s="330"/>
      <c r="D24" s="330"/>
      <c r="E24" s="330"/>
      <c r="F24" s="330"/>
    </row>
    <row r="25" spans="1:6">
      <c r="A25" s="1305" t="s">
        <v>15</v>
      </c>
      <c r="B25" s="1306">
        <v>3220</v>
      </c>
      <c r="C25" s="330"/>
      <c r="D25" s="330"/>
      <c r="E25" s="330"/>
      <c r="F25" s="330"/>
    </row>
    <row r="26" spans="1:6">
      <c r="A26" s="1305" t="s">
        <v>16</v>
      </c>
      <c r="B26" s="1306">
        <v>45</v>
      </c>
      <c r="C26" s="330"/>
      <c r="D26" s="330"/>
      <c r="E26" s="330"/>
      <c r="F26" s="330"/>
    </row>
    <row r="27" spans="1:6">
      <c r="A27" s="1305" t="s">
        <v>17</v>
      </c>
      <c r="B27" s="1306">
        <v>10</v>
      </c>
      <c r="C27" s="330"/>
      <c r="D27" s="330"/>
      <c r="E27" s="330"/>
      <c r="F27" s="330"/>
    </row>
    <row r="28" spans="1:6" s="43" customFormat="1">
      <c r="A28" s="1307" t="s">
        <v>18</v>
      </c>
      <c r="B28" s="1308">
        <v>171924</v>
      </c>
      <c r="C28" s="336"/>
      <c r="D28" s="336"/>
      <c r="E28" s="336"/>
      <c r="F28" s="336"/>
    </row>
    <row r="29" spans="1:6">
      <c r="A29" s="1307" t="s">
        <v>909</v>
      </c>
      <c r="B29" s="1308">
        <v>419</v>
      </c>
      <c r="C29" s="336"/>
      <c r="D29" s="336"/>
      <c r="E29" s="336"/>
      <c r="F29" s="336"/>
    </row>
    <row r="30" spans="1:6">
      <c r="A30" s="1300" t="s">
        <v>910</v>
      </c>
      <c r="B30" s="1309">
        <v>62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10</v>
      </c>
      <c r="F36" s="1306">
        <v>131022</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2205</v>
      </c>
      <c r="D39" s="1306">
        <v>31978981</v>
      </c>
      <c r="E39" s="1306">
        <v>5085</v>
      </c>
      <c r="F39" s="1306">
        <v>18924679</v>
      </c>
    </row>
    <row r="40" spans="1:6">
      <c r="A40" s="1305" t="s">
        <v>29</v>
      </c>
      <c r="B40" s="1305" t="s">
        <v>28</v>
      </c>
      <c r="C40" s="1306">
        <v>0</v>
      </c>
      <c r="D40" s="1306">
        <v>0</v>
      </c>
      <c r="E40" s="1306">
        <v>0</v>
      </c>
      <c r="F40" s="1306">
        <v>0</v>
      </c>
    </row>
    <row r="41" spans="1:6">
      <c r="A41" s="1305" t="s">
        <v>31</v>
      </c>
      <c r="B41" s="1305" t="s">
        <v>32</v>
      </c>
      <c r="C41" s="1306">
        <v>29</v>
      </c>
      <c r="D41" s="1306">
        <v>852537</v>
      </c>
      <c r="E41" s="1306">
        <v>97</v>
      </c>
      <c r="F41" s="1306">
        <v>4431238</v>
      </c>
    </row>
    <row r="42" spans="1:6">
      <c r="A42" s="1305" t="s">
        <v>31</v>
      </c>
      <c r="B42" s="1305" t="s">
        <v>33</v>
      </c>
      <c r="C42" s="1306">
        <v>0</v>
      </c>
      <c r="D42" s="1306">
        <v>0</v>
      </c>
      <c r="E42" s="1306">
        <v>0</v>
      </c>
      <c r="F42" s="1306">
        <v>0</v>
      </c>
    </row>
    <row r="43" spans="1:6">
      <c r="A43" s="1305" t="s">
        <v>31</v>
      </c>
      <c r="B43" s="1305" t="s">
        <v>34</v>
      </c>
      <c r="C43" s="1306">
        <v>0</v>
      </c>
      <c r="D43" s="1306">
        <v>0</v>
      </c>
      <c r="E43" s="1306">
        <v>3</v>
      </c>
      <c r="F43" s="1306">
        <v>1463571</v>
      </c>
    </row>
    <row r="44" spans="1:6">
      <c r="A44" s="1305" t="s">
        <v>31</v>
      </c>
      <c r="B44" s="1305" t="s">
        <v>35</v>
      </c>
      <c r="C44" s="1306">
        <v>6</v>
      </c>
      <c r="D44" s="1306">
        <v>166346</v>
      </c>
      <c r="E44" s="1306">
        <v>12</v>
      </c>
      <c r="F44" s="1306">
        <v>334914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773522</v>
      </c>
      <c r="E47" s="1306">
        <v>0</v>
      </c>
      <c r="F47" s="1306">
        <v>0</v>
      </c>
    </row>
    <row r="48" spans="1:6">
      <c r="A48" s="1305" t="s">
        <v>31</v>
      </c>
      <c r="B48" s="1305" t="s">
        <v>28</v>
      </c>
      <c r="C48" s="1306">
        <v>2</v>
      </c>
      <c r="D48" s="1306">
        <v>87010</v>
      </c>
      <c r="E48" s="1306">
        <v>2</v>
      </c>
      <c r="F48" s="1306">
        <v>67483</v>
      </c>
    </row>
    <row r="49" spans="1:6">
      <c r="A49" s="1305" t="s">
        <v>31</v>
      </c>
      <c r="B49" s="1305" t="s">
        <v>39</v>
      </c>
      <c r="C49" s="1306">
        <v>0</v>
      </c>
      <c r="D49" s="1306">
        <v>0</v>
      </c>
      <c r="E49" s="1306">
        <v>4</v>
      </c>
      <c r="F49" s="1306">
        <v>72022</v>
      </c>
    </row>
    <row r="50" spans="1:6">
      <c r="A50" s="1305" t="s">
        <v>31</v>
      </c>
      <c r="B50" s="1305" t="s">
        <v>40</v>
      </c>
      <c r="C50" s="1306">
        <v>8</v>
      </c>
      <c r="D50" s="1306">
        <v>44688117</v>
      </c>
      <c r="E50" s="1306">
        <v>7</v>
      </c>
      <c r="F50" s="1306">
        <v>14391952</v>
      </c>
    </row>
    <row r="51" spans="1:6">
      <c r="A51" s="1305" t="s">
        <v>41</v>
      </c>
      <c r="B51" s="1305" t="s">
        <v>42</v>
      </c>
      <c r="C51" s="1306">
        <v>0</v>
      </c>
      <c r="D51" s="1306">
        <v>0</v>
      </c>
      <c r="E51" s="1306">
        <v>125</v>
      </c>
      <c r="F51" s="1306">
        <v>3320280</v>
      </c>
    </row>
    <row r="52" spans="1:6">
      <c r="A52" s="1305" t="s">
        <v>41</v>
      </c>
      <c r="B52" s="1305" t="s">
        <v>28</v>
      </c>
      <c r="C52" s="1306">
        <v>2</v>
      </c>
      <c r="D52" s="1306">
        <v>40036</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78</v>
      </c>
      <c r="F54" s="1306">
        <v>921163</v>
      </c>
    </row>
    <row r="55" spans="1:6">
      <c r="A55" s="1305" t="s">
        <v>45</v>
      </c>
      <c r="B55" s="1305" t="s">
        <v>28</v>
      </c>
      <c r="C55" s="1306">
        <v>0</v>
      </c>
      <c r="D55" s="1306">
        <v>0</v>
      </c>
      <c r="E55" s="1306">
        <v>0</v>
      </c>
      <c r="F55" s="1306">
        <v>0</v>
      </c>
    </row>
    <row r="56" spans="1:6">
      <c r="A56" s="1305" t="s">
        <v>47</v>
      </c>
      <c r="B56" s="1305" t="s">
        <v>28</v>
      </c>
      <c r="C56" s="1306">
        <v>15</v>
      </c>
      <c r="D56" s="1306">
        <v>261070</v>
      </c>
      <c r="E56" s="1306">
        <v>69</v>
      </c>
      <c r="F56" s="1306">
        <v>304728</v>
      </c>
    </row>
    <row r="57" spans="1:6">
      <c r="A57" s="1305" t="s">
        <v>48</v>
      </c>
      <c r="B57" s="1305" t="s">
        <v>49</v>
      </c>
      <c r="C57" s="1306">
        <v>18</v>
      </c>
      <c r="D57" s="1306">
        <v>4068326</v>
      </c>
      <c r="E57" s="1306">
        <v>56</v>
      </c>
      <c r="F57" s="1306">
        <v>1502826</v>
      </c>
    </row>
    <row r="58" spans="1:6">
      <c r="A58" s="1305" t="s">
        <v>48</v>
      </c>
      <c r="B58" s="1305" t="s">
        <v>50</v>
      </c>
      <c r="C58" s="1306">
        <v>10</v>
      </c>
      <c r="D58" s="1306">
        <v>1214266</v>
      </c>
      <c r="E58" s="1306">
        <v>16</v>
      </c>
      <c r="F58" s="1306">
        <v>465763</v>
      </c>
    </row>
    <row r="59" spans="1:6">
      <c r="A59" s="1305" t="s">
        <v>48</v>
      </c>
      <c r="B59" s="1305" t="s">
        <v>51</v>
      </c>
      <c r="C59" s="1306">
        <v>49</v>
      </c>
      <c r="D59" s="1306">
        <v>1138499</v>
      </c>
      <c r="E59" s="1306">
        <v>117</v>
      </c>
      <c r="F59" s="1306">
        <v>3397596</v>
      </c>
    </row>
    <row r="60" spans="1:6">
      <c r="A60" s="1305" t="s">
        <v>48</v>
      </c>
      <c r="B60" s="1305" t="s">
        <v>52</v>
      </c>
      <c r="C60" s="1306">
        <v>27</v>
      </c>
      <c r="D60" s="1306">
        <v>826026</v>
      </c>
      <c r="E60" s="1306">
        <v>57</v>
      </c>
      <c r="F60" s="1306">
        <v>1860455</v>
      </c>
    </row>
    <row r="61" spans="1:6">
      <c r="A61" s="1305" t="s">
        <v>48</v>
      </c>
      <c r="B61" s="1305" t="s">
        <v>53</v>
      </c>
      <c r="C61" s="1306">
        <v>40</v>
      </c>
      <c r="D61" s="1306">
        <v>23137295</v>
      </c>
      <c r="E61" s="1306">
        <v>190</v>
      </c>
      <c r="F61" s="1306">
        <v>35960916</v>
      </c>
    </row>
    <row r="62" spans="1:6">
      <c r="A62" s="1305" t="s">
        <v>48</v>
      </c>
      <c r="B62" s="1305" t="s">
        <v>54</v>
      </c>
      <c r="C62" s="1306">
        <v>9</v>
      </c>
      <c r="D62" s="1306">
        <v>784011</v>
      </c>
      <c r="E62" s="1306">
        <v>16</v>
      </c>
      <c r="F62" s="1306">
        <v>198014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84249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42761986</v>
      </c>
      <c r="E73" s="450"/>
      <c r="F73" s="330"/>
    </row>
    <row r="74" spans="1:6">
      <c r="A74" s="1305" t="s">
        <v>63</v>
      </c>
      <c r="B74" s="1305" t="s">
        <v>710</v>
      </c>
      <c r="C74" s="1319" t="s">
        <v>712</v>
      </c>
      <c r="D74" s="1320">
        <v>5265398.1362453084</v>
      </c>
      <c r="E74" s="450"/>
      <c r="F74" s="330"/>
    </row>
    <row r="75" spans="1:6">
      <c r="A75" s="1305" t="s">
        <v>64</v>
      </c>
      <c r="B75" s="1305" t="s">
        <v>709</v>
      </c>
      <c r="C75" s="1319" t="s">
        <v>713</v>
      </c>
      <c r="D75" s="1320">
        <v>19918049</v>
      </c>
      <c r="E75" s="450"/>
      <c r="F75" s="330"/>
    </row>
    <row r="76" spans="1:6">
      <c r="A76" s="1305" t="s">
        <v>64</v>
      </c>
      <c r="B76" s="1305" t="s">
        <v>710</v>
      </c>
      <c r="C76" s="1319" t="s">
        <v>714</v>
      </c>
      <c r="D76" s="1320">
        <v>217333.1362453083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285239.7275093834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394.47533632286996</v>
      </c>
      <c r="C89" s="330"/>
      <c r="D89" s="330"/>
      <c r="E89" s="330"/>
      <c r="F89" s="330"/>
    </row>
    <row r="90" spans="1:6">
      <c r="A90" s="1305" t="s">
        <v>558</v>
      </c>
      <c r="B90" s="1306">
        <v>0</v>
      </c>
      <c r="C90" s="330"/>
      <c r="D90" s="330"/>
      <c r="E90" s="330"/>
      <c r="F90" s="330"/>
    </row>
    <row r="91" spans="1:6">
      <c r="A91" s="1305" t="s">
        <v>67</v>
      </c>
      <c r="B91" s="1306">
        <v>5033.4102943602102</v>
      </c>
      <c r="C91" s="330"/>
      <c r="D91" s="330"/>
      <c r="E91" s="330"/>
      <c r="F91" s="330"/>
    </row>
    <row r="92" spans="1:6">
      <c r="A92" s="1300" t="s">
        <v>68</v>
      </c>
      <c r="B92" s="1301">
        <v>3486.3176722553658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538</v>
      </c>
      <c r="C97" s="330"/>
      <c r="D97" s="330"/>
      <c r="E97" s="330"/>
      <c r="F97" s="330"/>
    </row>
    <row r="98" spans="1:6">
      <c r="A98" s="1305" t="s">
        <v>71</v>
      </c>
      <c r="B98" s="1306">
        <v>6</v>
      </c>
      <c r="C98" s="330"/>
      <c r="D98" s="330"/>
      <c r="E98" s="330"/>
      <c r="F98" s="330"/>
    </row>
    <row r="99" spans="1:6">
      <c r="A99" s="1305" t="s">
        <v>72</v>
      </c>
      <c r="B99" s="1306">
        <v>56</v>
      </c>
      <c r="C99" s="330"/>
      <c r="D99" s="330"/>
      <c r="E99" s="330"/>
      <c r="F99" s="330"/>
    </row>
    <row r="100" spans="1:6">
      <c r="A100" s="1305" t="s">
        <v>73</v>
      </c>
      <c r="B100" s="1306">
        <v>172</v>
      </c>
      <c r="C100" s="330"/>
      <c r="D100" s="330"/>
      <c r="E100" s="330"/>
      <c r="F100" s="330"/>
    </row>
    <row r="101" spans="1:6">
      <c r="A101" s="1305" t="s">
        <v>74</v>
      </c>
      <c r="B101" s="1306">
        <v>69</v>
      </c>
      <c r="C101" s="330"/>
      <c r="D101" s="330"/>
      <c r="E101" s="330"/>
      <c r="F101" s="330"/>
    </row>
    <row r="102" spans="1:6">
      <c r="A102" s="1305" t="s">
        <v>75</v>
      </c>
      <c r="B102" s="1306">
        <v>50</v>
      </c>
      <c r="C102" s="330"/>
      <c r="D102" s="330"/>
      <c r="E102" s="330"/>
      <c r="F102" s="330"/>
    </row>
    <row r="103" spans="1:6">
      <c r="A103" s="1305" t="s">
        <v>76</v>
      </c>
      <c r="B103" s="1306">
        <v>73</v>
      </c>
      <c r="C103" s="330"/>
      <c r="D103" s="330"/>
      <c r="E103" s="330"/>
      <c r="F103" s="330"/>
    </row>
    <row r="104" spans="1:6">
      <c r="A104" s="1305" t="s">
        <v>77</v>
      </c>
      <c r="B104" s="1306">
        <v>3316</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16</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171</v>
      </c>
      <c r="C129" s="330"/>
      <c r="D129" s="330"/>
      <c r="E129" s="330"/>
      <c r="F129" s="330"/>
    </row>
    <row r="130" spans="1:6">
      <c r="A130" s="1305" t="s">
        <v>294</v>
      </c>
      <c r="B130" s="1306">
        <v>6</v>
      </c>
      <c r="C130" s="330"/>
      <c r="D130" s="330"/>
      <c r="E130" s="330"/>
      <c r="F130" s="330"/>
    </row>
    <row r="131" spans="1:6">
      <c r="A131" s="1305" t="s">
        <v>295</v>
      </c>
      <c r="B131" s="1306">
        <v>0</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93773.352029304049</v>
      </c>
      <c r="C3" s="43" t="s">
        <v>169</v>
      </c>
      <c r="D3" s="43"/>
      <c r="E3" s="154"/>
      <c r="F3" s="43"/>
      <c r="G3" s="43"/>
      <c r="H3" s="43"/>
      <c r="I3" s="43"/>
      <c r="J3" s="43"/>
      <c r="K3" s="96"/>
    </row>
    <row r="4" spans="1:11">
      <c r="A4" s="359" t="s">
        <v>170</v>
      </c>
      <c r="B4" s="49">
        <f>IF(ISERROR('SEAP template'!B78+'SEAP template'!C78),0,'SEAP template'!B78+'SEAP template'!C78)</f>
        <v>10116.753302938445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0.19715737913207249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1717.9285714285716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921.16300000000001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921.16300000000001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0.19715737913207249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181.61408283343729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18924.679</v>
      </c>
      <c r="C5" s="17">
        <f>IF(ISERROR('Eigen informatie GS &amp; warmtenet'!B57),0,'Eigen informatie GS &amp; warmtenet'!B57)</f>
        <v>0</v>
      </c>
      <c r="D5" s="30">
        <f>(SUM(HH_hh_gas_kWh,HH_rest_gas_kWh)/1000)*0.902</f>
        <v>28845.040862000002</v>
      </c>
      <c r="E5" s="17">
        <f>B46*B57</f>
        <v>16230.174996278172</v>
      </c>
      <c r="F5" s="17">
        <f>B51*B62</f>
        <v>40649.501483209708</v>
      </c>
      <c r="G5" s="18"/>
      <c r="H5" s="17"/>
      <c r="I5" s="17"/>
      <c r="J5" s="17">
        <f>B50*B61+C50*C61</f>
        <v>0</v>
      </c>
      <c r="K5" s="17"/>
      <c r="L5" s="17"/>
      <c r="M5" s="17"/>
      <c r="N5" s="17">
        <f>B48*B59+C48*C59</f>
        <v>14420.945386000458</v>
      </c>
      <c r="O5" s="17">
        <f>B69*B70*B71</f>
        <v>293.90666666666669</v>
      </c>
      <c r="P5" s="17">
        <f>B77*B78*B79/1000-B77*B78*B79/1000/B80</f>
        <v>591.06666666666661</v>
      </c>
    </row>
    <row r="6" spans="1:16">
      <c r="A6" s="16" t="s">
        <v>630</v>
      </c>
      <c r="B6" s="763">
        <f>kWh_PV_kleiner_dan_10kW</f>
        <v>5033.4102943602102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23958.089294360208</v>
      </c>
      <c r="C8" s="21">
        <f>C5</f>
        <v>0</v>
      </c>
      <c r="D8" s="21">
        <f>D5</f>
        <v>28845.040862000002</v>
      </c>
      <c r="E8" s="21">
        <f>E5</f>
        <v>16230.174996278172</v>
      </c>
      <c r="F8" s="21">
        <f>F5</f>
        <v>40649.501483209708</v>
      </c>
      <c r="G8" s="21"/>
      <c r="H8" s="21"/>
      <c r="I8" s="21"/>
      <c r="J8" s="21">
        <f>J5</f>
        <v>0</v>
      </c>
      <c r="K8" s="21"/>
      <c r="L8" s="21">
        <f>L5</f>
        <v>0</v>
      </c>
      <c r="M8" s="21">
        <f>M5</f>
        <v>0</v>
      </c>
      <c r="N8" s="21">
        <f>N5</f>
        <v>14420.945386000458</v>
      </c>
      <c r="O8" s="21">
        <f>O5</f>
        <v>293.90666666666669</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0.19715737913207249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4723.5140942882226</v>
      </c>
      <c r="C12" s="23">
        <f ca="1">C10*C8</f>
        <v>0</v>
      </c>
      <c r="D12" s="23">
        <f>D8*D10</f>
        <v>5826.6982541240004</v>
      </c>
      <c r="E12" s="23">
        <f>E10*E8</f>
        <v>3684.249724155145</v>
      </c>
      <c r="F12" s="23">
        <f>F10*F8</f>
        <v>10853.416896016992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5130</v>
      </c>
      <c r="C28" s="36"/>
      <c r="D28" s="228"/>
    </row>
    <row r="29" spans="1:7" s="15" customFormat="1">
      <c r="A29" s="230" t="s">
        <v>737</v>
      </c>
      <c r="B29" s="37">
        <f>SUM(HH_hh_gas_aantal,HH_rest_gas_aantal)</f>
        <v>2205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2205</v>
      </c>
      <c r="C32" s="167">
        <f>IF(ISERROR(B32/SUM($B$32,$B$34,$B$35,$B$36,$B$38,$B$39)*100),0,B32/SUM($B$32,$B$34,$B$35,$B$36,$B$38,$B$39)*100)</f>
        <v>43.24377328888017</v>
      </c>
      <c r="D32" s="233"/>
      <c r="G32" s="15"/>
    </row>
    <row r="33" spans="1:7">
      <c r="A33" s="171" t="s">
        <v>71</v>
      </c>
      <c r="B33" s="34" t="s">
        <v>110</v>
      </c>
      <c r="C33" s="167"/>
      <c r="D33" s="233"/>
      <c r="G33" s="15"/>
    </row>
    <row r="34" spans="1:7">
      <c r="A34" s="171" t="s">
        <v>72</v>
      </c>
      <c r="B34" s="33">
        <f>IF((($B$28-$B$32-$B$39-$B$77-$B$38)*C20/100)&lt;0,0,($B$28-$B$32-$B$39-$B$77-$B$38)*C20/100)</f>
        <v>203.31582491582489</v>
      </c>
      <c r="C34" s="167">
        <f>IF(ISERROR(B34/SUM($B$32,$B$34,$B$35,$B$36,$B$38,$B$39)*100),0,B34/SUM($B$32,$B$34,$B$35,$B$36,$B$38,$B$39)*100)</f>
        <v>3.9873666388669329</v>
      </c>
      <c r="D34" s="233"/>
      <c r="G34" s="15"/>
    </row>
    <row r="35" spans="1:7">
      <c r="A35" s="171" t="s">
        <v>73</v>
      </c>
      <c r="B35" s="33">
        <f>IF((($B$28-$B$32-$B$39-$B$77-$B$38)*C21/100)&lt;0,0,($B$28-$B$32-$B$39-$B$77-$B$38)*C21/100)</f>
        <v>624.47003367003367</v>
      </c>
      <c r="C35" s="167">
        <f>IF(ISERROR(B35/SUM($B$32,$B$34,$B$35,$B$36,$B$38,$B$39)*100),0,B35/SUM($B$32,$B$34,$B$35,$B$36,$B$38,$B$39)*100)</f>
        <v>12.246911819377008</v>
      </c>
      <c r="D35" s="233"/>
      <c r="G35" s="15"/>
    </row>
    <row r="36" spans="1:7">
      <c r="A36" s="171" t="s">
        <v>74</v>
      </c>
      <c r="B36" s="33">
        <f>IF((($B$28-$B$32-$B$39-$B$77-$B$38)*C22/100)&lt;0,0,($B$28-$B$32-$B$39-$B$77-$B$38)*C22/100)</f>
        <v>250.51414141414142</v>
      </c>
      <c r="C36" s="167">
        <f>IF(ISERROR(B36/SUM($B$32,$B$34,$B$35,$B$36,$B$38,$B$39)*100),0,B36/SUM($B$32,$B$34,$B$35,$B$36,$B$38,$B$39)*100)</f>
        <v>4.9130053228896138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1815.7</v>
      </c>
      <c r="C39" s="167">
        <f>IF(ISERROR(B39/SUM($B$32,$B$34,$B$35,$B$36,$B$38,$B$39)*100),0,B39/SUM($B$32,$B$34,$B$35,$B$36,$B$38,$B$39)*100)</f>
        <v>35.60894292998627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2205</v>
      </c>
      <c r="C44" s="34" t="s">
        <v>110</v>
      </c>
      <c r="D44" s="174"/>
    </row>
    <row r="45" spans="1:7">
      <c r="A45" s="171" t="s">
        <v>71</v>
      </c>
      <c r="B45" s="33" t="str">
        <f t="shared" si="0"/>
        <v>-</v>
      </c>
      <c r="C45" s="34" t="s">
        <v>110</v>
      </c>
      <c r="D45" s="174"/>
    </row>
    <row r="46" spans="1:7">
      <c r="A46" s="171" t="s">
        <v>72</v>
      </c>
      <c r="B46" s="33">
        <f t="shared" si="0"/>
        <v>203.31582491582489</v>
      </c>
      <c r="C46" s="34" t="s">
        <v>110</v>
      </c>
      <c r="D46" s="174"/>
    </row>
    <row r="47" spans="1:7">
      <c r="A47" s="171" t="s">
        <v>73</v>
      </c>
      <c r="B47" s="33">
        <f t="shared" si="0"/>
        <v>624.47003367003367</v>
      </c>
      <c r="C47" s="34" t="s">
        <v>110</v>
      </c>
      <c r="D47" s="174"/>
    </row>
    <row r="48" spans="1:7">
      <c r="A48" s="171" t="s">
        <v>74</v>
      </c>
      <c r="B48" s="33">
        <f t="shared" si="0"/>
        <v>250.51414141414142</v>
      </c>
      <c r="C48" s="33">
        <f>B48*10</f>
        <v>2505.1414141414143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1815.7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43385.57</v>
      </c>
      <c r="C5" s="17">
        <f>IF(ISERROR('Eigen informatie GS &amp; warmtenet'!B58),0,'Eigen informatie GS &amp; warmtenet'!B58)</f>
        <v>0</v>
      </c>
      <c r="D5" s="30">
        <f>SUM(D6:D12)</f>
        <v>28113.917545999997</v>
      </c>
      <c r="E5" s="17">
        <f>SUM(E6:E12)</f>
        <v>224.43168363968624</v>
      </c>
      <c r="F5" s="17">
        <f>SUM(F6:F12)</f>
        <v>5353.7119762957063</v>
      </c>
      <c r="G5" s="18"/>
      <c r="H5" s="17"/>
      <c r="I5" s="17"/>
      <c r="J5" s="17">
        <f>SUM(J6:J12)</f>
        <v>0</v>
      </c>
      <c r="K5" s="17"/>
      <c r="L5" s="17"/>
      <c r="M5" s="17"/>
      <c r="N5" s="17">
        <f>SUM(N6:N12)</f>
        <v>1450.5414395937062</v>
      </c>
      <c r="O5" s="17">
        <f>B38*B39*B40</f>
        <v>9.3800000000000008</v>
      </c>
      <c r="P5" s="17">
        <f>B46*B47*B48/1000-B46*B47*B48/1000/B49</f>
        <v>0</v>
      </c>
      <c r="R5" s="32"/>
    </row>
    <row r="6" spans="1:18">
      <c r="A6" s="32" t="s">
        <v>53</v>
      </c>
      <c r="B6" s="37">
        <f>B26</f>
        <v>35960.915999999997</v>
      </c>
      <c r="C6" s="33"/>
      <c r="D6" s="37">
        <f>IF(ISERROR(TER_kantoor_gas_kWh/1000),0,TER_kantoor_gas_kWh/1000)*0.902</f>
        <v>20869.840089999998</v>
      </c>
      <c r="E6" s="33">
        <f>$C$26*'E Balans VL '!I12/100/3.6*1000000</f>
        <v>104.18404986650535</v>
      </c>
      <c r="F6" s="33">
        <f>$C$26*('E Balans VL '!L12+'E Balans VL '!N12)/100/3.6*1000000</f>
        <v>4069.983410793162</v>
      </c>
      <c r="G6" s="34"/>
      <c r="H6" s="33"/>
      <c r="I6" s="33"/>
      <c r="J6" s="33">
        <f>$C$26*('E Balans VL '!D12+'E Balans VL '!E12)/100/3.6*1000000</f>
        <v>0</v>
      </c>
      <c r="K6" s="33"/>
      <c r="L6" s="33"/>
      <c r="M6" s="33"/>
      <c r="N6" s="33">
        <f>$C$26*'E Balans VL '!Y12/100/3.6*1000000</f>
        <v>359.94227197402455</v>
      </c>
      <c r="O6" s="33"/>
      <c r="P6" s="33"/>
      <c r="R6" s="32"/>
    </row>
    <row r="7" spans="1:18">
      <c r="A7" s="32" t="s">
        <v>52</v>
      </c>
      <c r="B7" s="37">
        <f t="shared" ref="B7:B12" si="0">B27</f>
        <v>1860.4549999999999</v>
      </c>
      <c r="C7" s="33"/>
      <c r="D7" s="37">
        <f>IF(ISERROR(TER_horeca_gas_kWh/1000),0,TER_horeca_gas_kWh/1000)*0.902</f>
        <v>745.07545199999993</v>
      </c>
      <c r="E7" s="33">
        <f>$C$27*'E Balans VL '!I9/100/3.6*1000000</f>
        <v>78.09670289146257</v>
      </c>
      <c r="F7" s="33">
        <f>$C$27*('E Balans VL '!L9+'E Balans VL '!N9)/100/3.6*1000000</f>
        <v>399.75690897306379</v>
      </c>
      <c r="G7" s="34"/>
      <c r="H7" s="33"/>
      <c r="I7" s="33"/>
      <c r="J7" s="33">
        <f>$C$27*('E Balans VL '!D9+'E Balans VL '!E9)/100/3.6*1000000</f>
        <v>0</v>
      </c>
      <c r="K7" s="33"/>
      <c r="L7" s="33"/>
      <c r="M7" s="33"/>
      <c r="N7" s="33">
        <f>$C$27*'E Balans VL '!Y9/100/3.6*1000000</f>
        <v>0.47942298323078342</v>
      </c>
      <c r="O7" s="33"/>
      <c r="P7" s="33"/>
      <c r="R7" s="32"/>
    </row>
    <row r="8" spans="1:18">
      <c r="A8" s="6" t="s">
        <v>51</v>
      </c>
      <c r="B8" s="37">
        <f t="shared" si="0"/>
        <v>3397.596</v>
      </c>
      <c r="C8" s="33"/>
      <c r="D8" s="37">
        <f>IF(ISERROR(TER_handel_gas_kWh/1000),0,TER_handel_gas_kWh/1000)*0.902</f>
        <v>1026.9260980000001</v>
      </c>
      <c r="E8" s="33">
        <f>$C$28*'E Balans VL '!I13/100/3.6*1000000</f>
        <v>36.49300877876783</v>
      </c>
      <c r="F8" s="33">
        <f>$C$28*('E Balans VL '!L13+'E Balans VL '!N13)/100/3.6*1000000</f>
        <v>439.84685896938345</v>
      </c>
      <c r="G8" s="34"/>
      <c r="H8" s="33"/>
      <c r="I8" s="33"/>
      <c r="J8" s="33">
        <f>$C$28*('E Balans VL '!D13+'E Balans VL '!E13)/100/3.6*1000000</f>
        <v>0</v>
      </c>
      <c r="K8" s="33"/>
      <c r="L8" s="33"/>
      <c r="M8" s="33"/>
      <c r="N8" s="33">
        <f>$C$28*'E Balans VL '!Y13/100/3.6*1000000</f>
        <v>27.561484268807778</v>
      </c>
      <c r="O8" s="33"/>
      <c r="P8" s="33"/>
      <c r="R8" s="32"/>
    </row>
    <row r="9" spans="1:18">
      <c r="A9" s="32" t="s">
        <v>50</v>
      </c>
      <c r="B9" s="37">
        <f t="shared" si="0"/>
        <v>465.76299999999998</v>
      </c>
      <c r="C9" s="33"/>
      <c r="D9" s="37">
        <f>IF(ISERROR(TER_gezond_gas_kWh/1000),0,TER_gezond_gas_kWh/1000)*0.902</f>
        <v>1095.2679320000002</v>
      </c>
      <c r="E9" s="33">
        <f>$C$29*'E Balans VL '!I10/100/3.6*1000000</f>
        <v>0.37077747274377415</v>
      </c>
      <c r="F9" s="33">
        <f>$C$29*('E Balans VL '!L10+'E Balans VL '!N10)/100/3.6*1000000</f>
        <v>56.620223531603216</v>
      </c>
      <c r="G9" s="34"/>
      <c r="H9" s="33"/>
      <c r="I9" s="33"/>
      <c r="J9" s="33">
        <f>$C$29*('E Balans VL '!D10+'E Balans VL '!E10)/100/3.6*1000000</f>
        <v>0</v>
      </c>
      <c r="K9" s="33"/>
      <c r="L9" s="33"/>
      <c r="M9" s="33"/>
      <c r="N9" s="33">
        <f>$C$29*'E Balans VL '!Y10/100/3.6*1000000</f>
        <v>3.7623101182007099</v>
      </c>
      <c r="O9" s="33"/>
      <c r="P9" s="33"/>
      <c r="R9" s="32"/>
    </row>
    <row r="10" spans="1:18">
      <c r="A10" s="32" t="s">
        <v>49</v>
      </c>
      <c r="B10" s="37">
        <f t="shared" si="0"/>
        <v>1502.826</v>
      </c>
      <c r="C10" s="33"/>
      <c r="D10" s="37">
        <f>IF(ISERROR(TER_ander_gas_kWh/1000),0,TER_ander_gas_kWh/1000)*0.902</f>
        <v>3669.630052</v>
      </c>
      <c r="E10" s="33">
        <f>$C$30*'E Balans VL '!I14/100/3.6*1000000</f>
        <v>5.1502636503579682</v>
      </c>
      <c r="F10" s="33">
        <f>$C$30*('E Balans VL '!L14+'E Balans VL '!N14)/100/3.6*1000000</f>
        <v>335.67026074491616</v>
      </c>
      <c r="G10" s="34"/>
      <c r="H10" s="33"/>
      <c r="I10" s="33"/>
      <c r="J10" s="33">
        <f>$C$30*('E Balans VL '!D14+'E Balans VL '!E14)/100/3.6*1000000</f>
        <v>0</v>
      </c>
      <c r="K10" s="33"/>
      <c r="L10" s="33"/>
      <c r="M10" s="33"/>
      <c r="N10" s="33">
        <f>$C$30*'E Balans VL '!Y14/100/3.6*1000000</f>
        <v>1058.5988441779591</v>
      </c>
      <c r="O10" s="33"/>
      <c r="P10" s="33"/>
      <c r="R10" s="32"/>
    </row>
    <row r="11" spans="1:18">
      <c r="A11" s="32" t="s">
        <v>54</v>
      </c>
      <c r="B11" s="37">
        <f t="shared" si="0"/>
        <v>198.01400000000001</v>
      </c>
      <c r="C11" s="33"/>
      <c r="D11" s="37">
        <f>IF(ISERROR(TER_onderwijs_gas_kWh/1000),0,TER_onderwijs_gas_kWh/1000)*0.902</f>
        <v>707.17792199999997</v>
      </c>
      <c r="E11" s="33">
        <f>$C$31*'E Balans VL '!I11/100/3.6*1000000</f>
        <v>0.13688097984874784</v>
      </c>
      <c r="F11" s="33">
        <f>$C$31*('E Balans VL '!L11+'E Balans VL '!N11)/100/3.6*1000000</f>
        <v>51.834313283576904</v>
      </c>
      <c r="G11" s="34"/>
      <c r="H11" s="33"/>
      <c r="I11" s="33"/>
      <c r="J11" s="33">
        <f>$C$31*('E Balans VL '!D11+'E Balans VL '!E11)/100/3.6*1000000</f>
        <v>0</v>
      </c>
      <c r="K11" s="33"/>
      <c r="L11" s="33"/>
      <c r="M11" s="33"/>
      <c r="N11" s="33">
        <f>$C$31*'E Balans VL '!Y11/100/3.6*1000000</f>
        <v>0.19710607148312967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energieproductie'!N40+'lokale energieproductie'!N33</f>
        <v>1115.25</v>
      </c>
      <c r="C13" s="247">
        <f ca="1">'lokale energieproductie'!O40+'lokale energieproductie'!O33</f>
        <v>1593.2142857142858</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-3186.4285714285716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44500.82</v>
      </c>
      <c r="C16" s="21">
        <f t="shared" ca="1" si="1"/>
        <v>1593.2142857142858</v>
      </c>
      <c r="D16" s="21">
        <f t="shared" ca="1" si="1"/>
        <v>28113.917545999997</v>
      </c>
      <c r="E16" s="21">
        <f t="shared" si="1"/>
        <v>224.43168363968624</v>
      </c>
      <c r="F16" s="21">
        <f t="shared" ca="1" si="1"/>
        <v>5353.7119762957063</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0.19715737913207249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8773.6650404281136</v>
      </c>
      <c r="C20" s="23">
        <f t="shared" ref="C20:P20" ca="1" si="2">C16*C18</f>
        <v>0</v>
      </c>
      <c r="D20" s="23">
        <f t="shared" ca="1" si="2"/>
        <v>5679.0113442920001</v>
      </c>
      <c r="E20" s="23">
        <f t="shared" si="2"/>
        <v>50.945992186208777</v>
      </c>
      <c r="F20" s="23">
        <f t="shared" ca="1" si="2"/>
        <v>1429.4410976709537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35960.915999999997</v>
      </c>
      <c r="C26" s="39">
        <f>IF(ISERROR(B26*3.6/1000000/'E Balans VL '!Z12*100),0,B26*3.6/1000000/'E Balans VL '!Z12*100)</f>
        <v>0.78992309492210011</v>
      </c>
      <c r="D26" s="237" t="s">
        <v>691</v>
      </c>
      <c r="F26" s="6"/>
    </row>
    <row r="27" spans="1:18">
      <c r="A27" s="231" t="s">
        <v>52</v>
      </c>
      <c r="B27" s="33">
        <f>IF(ISERROR(TER_horeca_ele_kWh/1000),0,TER_horeca_ele_kWh/1000)</f>
        <v>1860.4549999999999</v>
      </c>
      <c r="C27" s="39">
        <f>IF(ISERROR(B27*3.6/1000000/'E Balans VL '!Z9*100),0,B27*3.6/1000000/'E Balans VL '!Z9*100)</f>
        <v>0.14950610448447924</v>
      </c>
      <c r="D27" s="237" t="s">
        <v>691</v>
      </c>
      <c r="F27" s="6"/>
    </row>
    <row r="28" spans="1:18">
      <c r="A28" s="171" t="s">
        <v>51</v>
      </c>
      <c r="B28" s="33">
        <f>IF(ISERROR(TER_handel_ele_kWh/1000),0,TER_handel_ele_kWh/1000)</f>
        <v>3397.596</v>
      </c>
      <c r="C28" s="39">
        <f>IF(ISERROR(B28*3.6/1000000/'E Balans VL '!Z13*100),0,B28*3.6/1000000/'E Balans VL '!Z13*100)</f>
        <v>0.10046454010959671</v>
      </c>
      <c r="D28" s="237" t="s">
        <v>691</v>
      </c>
      <c r="F28" s="6"/>
    </row>
    <row r="29" spans="1:18">
      <c r="A29" s="231" t="s">
        <v>50</v>
      </c>
      <c r="B29" s="33">
        <f>IF(ISERROR(TER_gezond_ele_kWh/1000),0,TER_gezond_ele_kWh/1000)</f>
        <v>465.76299999999998</v>
      </c>
      <c r="C29" s="39">
        <f>IF(ISERROR(B29*3.6/1000000/'E Balans VL '!Z10*100),0,B29*3.6/1000000/'E Balans VL '!Z10*100)</f>
        <v>5.2479465159341189E-2</v>
      </c>
      <c r="D29" s="237" t="s">
        <v>691</v>
      </c>
      <c r="F29" s="6"/>
    </row>
    <row r="30" spans="1:18">
      <c r="A30" s="231" t="s">
        <v>49</v>
      </c>
      <c r="B30" s="33">
        <f>IF(ISERROR(TER_ander_ele_kWh/1000),0,TER_ander_ele_kWh/1000)</f>
        <v>1502.826</v>
      </c>
      <c r="C30" s="39">
        <f>IF(ISERROR(B30*3.6/1000000/'E Balans VL '!Z14*100),0,B30*3.6/1000000/'E Balans VL '!Z14*100)</f>
        <v>0.11365616141499331</v>
      </c>
      <c r="D30" s="237" t="s">
        <v>691</v>
      </c>
      <c r="F30" s="6"/>
    </row>
    <row r="31" spans="1:18">
      <c r="A31" s="231" t="s">
        <v>54</v>
      </c>
      <c r="B31" s="33">
        <f>IF(ISERROR(TER_onderwijs_ele_kWh/1000),0,TER_onderwijs_ele_kWh/1000)</f>
        <v>198.01400000000001</v>
      </c>
      <c r="C31" s="39">
        <f>IF(ISERROR(B31*3.6/1000000/'E Balans VL '!Z11*100),0,B31*3.6/1000000/'E Balans VL '!Z11*100)</f>
        <v>4.1103109702328181E-2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20761.18</v>
      </c>
      <c r="C5" s="17">
        <f>IF(ISERROR('Eigen informatie GS &amp; warmtenet'!B59),0,'Eigen informatie GS &amp; warmtenet'!B59)</f>
        <v>0</v>
      </c>
      <c r="D5" s="30">
        <f>SUM(D6:D15)</f>
        <v>42003.913864000002</v>
      </c>
      <c r="E5" s="17">
        <f>SUM(E6:E15)</f>
        <v>1377.1324134816693</v>
      </c>
      <c r="F5" s="17">
        <f>SUM(F6:F15)</f>
        <v>30802.456154863066</v>
      </c>
      <c r="G5" s="18"/>
      <c r="H5" s="17"/>
      <c r="I5" s="17"/>
      <c r="J5" s="17">
        <f>SUM(J6:J15)</f>
        <v>344.72961551888409</v>
      </c>
      <c r="K5" s="17"/>
      <c r="L5" s="17"/>
      <c r="M5" s="17"/>
      <c r="N5" s="17">
        <f>SUM(N6:N15)</f>
        <v>7955.9687151433636</v>
      </c>
      <c r="O5" s="17">
        <f>B43*B44*B45</f>
        <v>0</v>
      </c>
      <c r="P5" s="17">
        <f>B51*B52*B53/1000-B51*B52*B53/1000/B54</f>
        <v>0</v>
      </c>
      <c r="R5" s="32"/>
    </row>
    <row r="6" spans="1:18">
      <c r="A6" s="6" t="s">
        <v>34</v>
      </c>
      <c r="B6" s="37">
        <f>IF( ISERROR(IND_ijzer_ele_kWh/1000),0,IND_ijzer_ele_kWh/1000)</f>
        <v>1463.5709999999999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334.91399999999999</v>
      </c>
      <c r="C8" s="33"/>
      <c r="D8" s="37">
        <f>IF( ISERROR(IND_metaal_Gas_kWH/1000),0,IND_metaal_Gas_kWH/1000)*0.902</f>
        <v>150.04409200000001</v>
      </c>
      <c r="E8" s="33">
        <f>C30*'E Balans VL '!I18/100/3.6*1000000</f>
        <v>8.3817252461121878</v>
      </c>
      <c r="F8" s="33">
        <f>C30*'E Balans VL '!L18/100/3.6*1000000+C30*'E Balans VL '!N18/100/3.6*1000000</f>
        <v>104.96371354791231</v>
      </c>
      <c r="G8" s="34"/>
      <c r="H8" s="33"/>
      <c r="I8" s="33"/>
      <c r="J8" s="40">
        <f>C30*'E Balans VL '!D18/100/3.6*1000000+C30*'E Balans VL '!E18/100/3.6*1000000</f>
        <v>0</v>
      </c>
      <c r="K8" s="33"/>
      <c r="L8" s="33"/>
      <c r="M8" s="33"/>
      <c r="N8" s="33">
        <f>C30*'E Balans VL '!Y18/100/3.6*1000000</f>
        <v>8.4139088576228733</v>
      </c>
      <c r="O8" s="33"/>
      <c r="P8" s="33"/>
      <c r="R8" s="32"/>
    </row>
    <row r="9" spans="1:18">
      <c r="A9" s="6" t="s">
        <v>32</v>
      </c>
      <c r="B9" s="37">
        <f t="shared" si="0"/>
        <v>4431.2380000000003</v>
      </c>
      <c r="C9" s="33"/>
      <c r="D9" s="37">
        <f>IF( ISERROR(IND_andere_gas_kWh/1000),0,IND_andere_gas_kWh/1000)*0.902</f>
        <v>768.98837400000002</v>
      </c>
      <c r="E9" s="33">
        <f>C31*'E Balans VL '!I19/100/3.6*1000000</f>
        <v>1218.408702527079</v>
      </c>
      <c r="F9" s="33">
        <f>C31*'E Balans VL '!L19/100/3.6*1000000+C31*'E Balans VL '!N19/100/3.6*1000000</f>
        <v>3492.5866347747447</v>
      </c>
      <c r="G9" s="34"/>
      <c r="H9" s="33"/>
      <c r="I9" s="33"/>
      <c r="J9" s="40">
        <f>C31*'E Balans VL '!D19/100/3.6*1000000+C31*'E Balans VL '!E19/100/3.6*1000000</f>
        <v>0</v>
      </c>
      <c r="K9" s="33"/>
      <c r="L9" s="33"/>
      <c r="M9" s="33"/>
      <c r="N9" s="33">
        <f>C31*'E Balans VL '!Y19/100/3.6*1000000</f>
        <v>356.98332564887829</v>
      </c>
      <c r="O9" s="33"/>
      <c r="P9" s="33"/>
      <c r="R9" s="32"/>
    </row>
    <row r="10" spans="1:18">
      <c r="A10" s="6" t="s">
        <v>40</v>
      </c>
      <c r="B10" s="37">
        <f t="shared" si="0"/>
        <v>14391.951999999999</v>
      </c>
      <c r="C10" s="33"/>
      <c r="D10" s="37">
        <f>IF( ISERROR(IND_voed_gas_kWh/1000),0,IND_voed_gas_kWh/1000)*0.902</f>
        <v>40308.681534000003</v>
      </c>
      <c r="E10" s="33">
        <f>C32*'E Balans VL '!I20/100/3.6*1000000</f>
        <v>146.71802206840255</v>
      </c>
      <c r="F10" s="33">
        <f>C32*'E Balans VL '!L20/100/3.6*1000000+C32*'E Balans VL '!N20/100/3.6*1000000</f>
        <v>27186.307315029277</v>
      </c>
      <c r="G10" s="34"/>
      <c r="H10" s="33"/>
      <c r="I10" s="33"/>
      <c r="J10" s="40">
        <f>C32*'E Balans VL '!D20/100/3.6*1000000+C32*'E Balans VL '!E20/100/3.6*1000000</f>
        <v>344.44650204014221</v>
      </c>
      <c r="K10" s="33"/>
      <c r="L10" s="33"/>
      <c r="M10" s="33"/>
      <c r="N10" s="33">
        <f>C32*'E Balans VL '!Y20/100/3.6*1000000</f>
        <v>7586.2164535912325</v>
      </c>
      <c r="O10" s="33"/>
      <c r="P10" s="33"/>
      <c r="R10" s="32"/>
    </row>
    <row r="11" spans="1:18">
      <c r="A11" s="6" t="s">
        <v>39</v>
      </c>
      <c r="B11" s="37">
        <f t="shared" si="0"/>
        <v>72.022000000000006</v>
      </c>
      <c r="C11" s="33"/>
      <c r="D11" s="37">
        <f>IF( ISERROR(IND_textiel_gas_kWh/1000),0,IND_textiel_gas_kWh/1000)*0.902</f>
        <v>0</v>
      </c>
      <c r="E11" s="33">
        <f>C33*'E Balans VL '!I21/100/3.6*1000000</f>
        <v>0.19089353442296067</v>
      </c>
      <c r="F11" s="33">
        <f>C33*'E Balans VL '!L21/100/3.6*1000000+C33*'E Balans VL '!N21/100/3.6*1000000</f>
        <v>3.2165768162252437</v>
      </c>
      <c r="G11" s="34"/>
      <c r="H11" s="33"/>
      <c r="I11" s="33"/>
      <c r="J11" s="40">
        <f>C33*'E Balans VL '!D21/100/3.6*1000000+C33*'E Balans VL '!E21/100/3.6*1000000</f>
        <v>0</v>
      </c>
      <c r="K11" s="33"/>
      <c r="L11" s="33"/>
      <c r="M11" s="33"/>
      <c r="N11" s="33">
        <f>C33*'E Balans VL '!Y21/100/3.6*1000000</f>
        <v>0.67875586564150581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697.71684400000004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67.483000000000004</v>
      </c>
      <c r="C15" s="33"/>
      <c r="D15" s="37">
        <f>IF( ISERROR(IND_rest_gas_kWh/1000),0,IND_rest_gas_kWh/1000)*0.902</f>
        <v>78.48302000000001</v>
      </c>
      <c r="E15" s="33">
        <f>C37*'E Balans VL '!I15/100/3.6*1000000</f>
        <v>3.433070105652853</v>
      </c>
      <c r="F15" s="33">
        <f>C37*'E Balans VL '!L15/100/3.6*1000000+C37*'E Balans VL '!N15/100/3.6*1000000</f>
        <v>15.381914694906476</v>
      </c>
      <c r="G15" s="34"/>
      <c r="H15" s="33"/>
      <c r="I15" s="33"/>
      <c r="J15" s="40">
        <f>C37*'E Balans VL '!D15/100/3.6*1000000+C37*'E Balans VL '!E15/100/3.6*1000000</f>
        <v>0.28311347874187703</v>
      </c>
      <c r="K15" s="33"/>
      <c r="L15" s="33"/>
      <c r="M15" s="33"/>
      <c r="N15" s="33">
        <f>C37*'E Balans VL '!Y15/100/3.6*1000000</f>
        <v>3.6762711799882624</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20761.18</v>
      </c>
      <c r="C18" s="21">
        <f>C5+C16</f>
        <v>0</v>
      </c>
      <c r="D18" s="21">
        <f>MAX((D5+D16),0)</f>
        <v>42003.913864000002</v>
      </c>
      <c r="E18" s="21">
        <f>MAX((E5+E16),0)</f>
        <v>1377.1324134816693</v>
      </c>
      <c r="F18" s="21">
        <f>MAX((F5+F16),0)</f>
        <v>30802.456154863066</v>
      </c>
      <c r="G18" s="21"/>
      <c r="H18" s="21"/>
      <c r="I18" s="21"/>
      <c r="J18" s="21">
        <f>MAX((J5+J16),0)</f>
        <v>344.72961551888409</v>
      </c>
      <c r="K18" s="21"/>
      <c r="L18" s="21">
        <f>MAX((L5+L16),0)</f>
        <v>0</v>
      </c>
      <c r="M18" s="21"/>
      <c r="N18" s="21">
        <f>MAX((N5+N16),0)</f>
        <v>7955.9687151433636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0.19715737913207249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4093.2198364892006</v>
      </c>
      <c r="C22" s="23">
        <f ca="1">C18*C20</f>
        <v>0</v>
      </c>
      <c r="D22" s="23">
        <f>D18*D20</f>
        <v>8484.7906005280001</v>
      </c>
      <c r="E22" s="23">
        <f>E18*E20</f>
        <v>312.60905786033896</v>
      </c>
      <c r="F22" s="23">
        <f>F18*F20</f>
        <v>8224.2557933484386</v>
      </c>
      <c r="G22" s="23"/>
      <c r="H22" s="23"/>
      <c r="I22" s="23"/>
      <c r="J22" s="23">
        <f>J18*J20</f>
        <v>122.03428389368496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334.91399999999999</v>
      </c>
      <c r="C30" s="39">
        <f>IF(ISERROR(B30*3.6/1000000/'E Balans VL '!Z18*100),0,B30*3.6/1000000/'E Balans VL '!Z18*100)</f>
        <v>4.6876798867649561E-2</v>
      </c>
      <c r="D30" s="237" t="s">
        <v>691</v>
      </c>
    </row>
    <row r="31" spans="1:18">
      <c r="A31" s="6" t="s">
        <v>32</v>
      </c>
      <c r="B31" s="37">
        <f>IF( ISERROR(IND_ander_ele_kWh/1000),0,IND_ander_ele_kWh/1000)</f>
        <v>4431.2380000000003</v>
      </c>
      <c r="C31" s="39">
        <f>IF(ISERROR(B31*3.6/1000000/'E Balans VL '!Z19*100),0,B31*3.6/1000000/'E Balans VL '!Z19*100)</f>
        <v>0.19395456841106642</v>
      </c>
      <c r="D31" s="237" t="s">
        <v>691</v>
      </c>
    </row>
    <row r="32" spans="1:18">
      <c r="A32" s="171" t="s">
        <v>40</v>
      </c>
      <c r="B32" s="37">
        <f>IF( ISERROR(IND_voed_ele_kWh/1000),0,IND_voed_ele_kWh/1000)</f>
        <v>14391.951999999999</v>
      </c>
      <c r="C32" s="39">
        <f>IF(ISERROR(B32*3.6/1000000/'E Balans VL '!Z20*100),0,B32*3.6/1000000/'E Balans VL '!Z20*100)</f>
        <v>3.5629693820483621</v>
      </c>
      <c r="D32" s="237" t="s">
        <v>691</v>
      </c>
    </row>
    <row r="33" spans="1:5">
      <c r="A33" s="171" t="s">
        <v>39</v>
      </c>
      <c r="B33" s="37">
        <f>IF( ISERROR(IND_textiel_ele_kWh/1000),0,IND_textiel_ele_kWh/1000)</f>
        <v>72.022000000000006</v>
      </c>
      <c r="C33" s="39">
        <f>IF(ISERROR(B33*3.6/1000000/'E Balans VL '!Z21*100),0,B33*3.6/1000000/'E Balans VL '!Z21*100)</f>
        <v>8.1156107207816311E-3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67.483000000000004</v>
      </c>
      <c r="C37" s="39">
        <f>IF(ISERROR(B37*3.6/1000000/'E Balans VL '!Z15*100),0,B37*3.6/1000000/'E Balans VL '!Z15*100)</f>
        <v>5.0037489142149363E-4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3320.28</v>
      </c>
      <c r="C5" s="17">
        <f>'Eigen informatie GS &amp; warmtenet'!B60</f>
        <v>0</v>
      </c>
      <c r="D5" s="30">
        <f>IF(ISERROR(SUM(LB_lb_gas_kWh,LB_rest_gas_kWh)/1000),0,SUM(LB_lb_gas_kWh,LB_rest_gas_kWh)/1000)*0.902</f>
        <v>36.112472000000004</v>
      </c>
      <c r="E5" s="17">
        <f>B17*'E Balans VL '!I25/3.6*1000000/100</f>
        <v>30.753824021096236</v>
      </c>
      <c r="F5" s="17">
        <f>B17*('E Balans VL '!L25/3.6*1000000+'E Balans VL '!N25/3.6*1000000)/100</f>
        <v>8424.1828726909025</v>
      </c>
      <c r="G5" s="18"/>
      <c r="H5" s="17"/>
      <c r="I5" s="17"/>
      <c r="J5" s="17">
        <f>('E Balans VL '!D25+'E Balans VL '!E25)/3.6*1000000*landbouw!B17/100</f>
        <v>509.03597843294688</v>
      </c>
      <c r="K5" s="17"/>
      <c r="L5" s="17">
        <f>L6*(-1)</f>
        <v>0</v>
      </c>
      <c r="M5" s="17"/>
      <c r="N5" s="17">
        <f>N6*(-1)</f>
        <v>249.42857142857139</v>
      </c>
      <c r="O5" s="17"/>
      <c r="P5" s="17"/>
      <c r="R5" s="32"/>
    </row>
    <row r="6" spans="1:18">
      <c r="A6" s="16" t="s">
        <v>493</v>
      </c>
      <c r="B6" s="17" t="s">
        <v>210</v>
      </c>
      <c r="C6" s="17">
        <f>'lokale energieproductie'!O41+'lokale energieproductie'!O34</f>
        <v>124.71428571428569</v>
      </c>
      <c r="D6" s="308">
        <f>('lokale energieproductie'!P34+'lokale energieproductie'!P41)*(-1)</f>
        <v>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3320.28</v>
      </c>
      <c r="C8" s="21">
        <f>C5+C6</f>
        <v>124.71428571428569</v>
      </c>
      <c r="D8" s="21">
        <f>MAX((D5+D6),0)</f>
        <v>36.112472000000004</v>
      </c>
      <c r="E8" s="21">
        <f>MAX((E5+E6),0)</f>
        <v>30.753824021096236</v>
      </c>
      <c r="F8" s="21">
        <f>MAX((F5+F6),0)</f>
        <v>8424.1828726909025</v>
      </c>
      <c r="G8" s="21"/>
      <c r="H8" s="21"/>
      <c r="I8" s="21"/>
      <c r="J8" s="21">
        <f>MAX((J5+J6),0)</f>
        <v>509.03597843294688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0.19715737913207249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654.61770278463769</v>
      </c>
      <c r="C12" s="23">
        <f ca="1">C8*C10</f>
        <v>0</v>
      </c>
      <c r="D12" s="23">
        <f>D8*D10</f>
        <v>7.2947193440000015</v>
      </c>
      <c r="E12" s="23">
        <f>E8*E10</f>
        <v>6.9811180527888457</v>
      </c>
      <c r="F12" s="23">
        <f>F8*F10</f>
        <v>2249.2568270084712</v>
      </c>
      <c r="G12" s="23"/>
      <c r="H12" s="23"/>
      <c r="I12" s="23"/>
      <c r="J12" s="23">
        <f>J8*J10</f>
        <v>180.19873636526319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0.47207341389506158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804.07394068904</v>
      </c>
      <c r="C26" s="247">
        <f>B26*'GWP N2O_CH4'!B5</f>
        <v>16885.552754469842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342.02739374215793</v>
      </c>
      <c r="C27" s="247">
        <f>B27*'GWP N2O_CH4'!B5</f>
        <v>7182.5752685853167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9.3310402894432816</v>
      </c>
      <c r="C28" s="247">
        <f>B28*'GWP N2O_CH4'!B4</f>
        <v>2892.6224897274174</v>
      </c>
      <c r="D28" s="50"/>
    </row>
    <row r="29" spans="1:4">
      <c r="A29" s="41" t="s">
        <v>276</v>
      </c>
      <c r="B29" s="247">
        <f>B34*'ha_N2O bodem landbouw'!B4</f>
        <v>20.825850366316185</v>
      </c>
      <c r="C29" s="247">
        <f>B29*'GWP N2O_CH4'!B4</f>
        <v>6456.0136135580178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4.6708713416951731E-3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2.5530245797872745E-5</v>
      </c>
      <c r="C5" s="438" t="s">
        <v>210</v>
      </c>
      <c r="D5" s="423">
        <f>SUM(D6:D11)</f>
        <v>5.4634679214580425E-5</v>
      </c>
      <c r="E5" s="423">
        <f>SUM(E6:E11)</f>
        <v>5.1656815827792551E-4</v>
      </c>
      <c r="F5" s="436" t="s">
        <v>210</v>
      </c>
      <c r="G5" s="423">
        <f>SUM(G6:G11)</f>
        <v>0.17011079161011217</v>
      </c>
      <c r="H5" s="423">
        <f>SUM(H6:H11)</f>
        <v>3.2947447228922774E-2</v>
      </c>
      <c r="I5" s="438" t="s">
        <v>210</v>
      </c>
      <c r="J5" s="438" t="s">
        <v>210</v>
      </c>
      <c r="K5" s="438" t="s">
        <v>210</v>
      </c>
      <c r="L5" s="438" t="s">
        <v>210</v>
      </c>
      <c r="M5" s="423">
        <f>SUM(M6:M11)</f>
        <v>1.0867530696768922E-2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1.7417412312950898E-5</v>
      </c>
      <c r="C6" s="424"/>
      <c r="D6" s="866">
        <f>vkm_GW_PW*SUMIFS(TableVerdeelsleutelVkm[CNG],TableVerdeelsleutelVkm[Voertuigtype],"Lichte voertuigen")*SUMIFS(TableECFTransport[EnergieConsumptieFactor (PJ per km)],TableECFTransport[Index],CONCATENATE($A6,"_CNG_CNG"))</f>
        <v>3.039311429577364E-5</v>
      </c>
      <c r="E6" s="866">
        <f>vkm_GW_PW*SUMIFS(TableVerdeelsleutelVkm[LPG],TableVerdeelsleutelVkm[Voertuigtype],"Lichte voertuigen")*SUMIFS(TableECFTransport[EnergieConsumptieFactor (PJ per km)],TableECFTransport[Index],CONCATENATE($A6,"_LPG_LPG"))</f>
        <v>2.9437225236561527E-4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6.9182544549549682E-2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1.8612568048593927E-2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4.5787436335053182E-3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4.9283278344840746E-2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9.5575941924848568E-7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2.8573330608441575E-3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8.1128334849218492E-6</v>
      </c>
      <c r="C8" s="424"/>
      <c r="D8" s="426">
        <f>vkm_NGW_PW*SUMIFS(TableVerdeelsleutelVkm[CNG],TableVerdeelsleutelVkm[Voertuigtype],"Lichte voertuigen")*SUMIFS(TableECFTransport[EnergieConsumptieFactor (PJ per km)],TableECFTransport[Index],CONCATENATE($A8,"_CNG_CNG"))</f>
        <v>2.4241564918806785E-5</v>
      </c>
      <c r="E8" s="426">
        <f>vkm_NGW_PW*SUMIFS(TableVerdeelsleutelVkm[LPG],TableVerdeelsleutelVkm[Voertuigtype],"Lichte voertuigen")*SUMIFS(TableECFTransport[EnergieConsumptieFactor (PJ per km)],TableECFTransport[Index],CONCATENATE($A8,"_LPG_LPG"))</f>
        <v>2.2219590591231026E-4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4.9016817643536166E-2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1.4333860288026868E-2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3.2790793738111355E-3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2.6281510721855995E-3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6.3132882723824444E-8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1.5237462860831068E-4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7.0917349438535409</v>
      </c>
      <c r="C14" s="21"/>
      <c r="D14" s="21">
        <f t="shared" ref="D14:M14" si="0">((D5)*10^9/3600)+D12</f>
        <v>15.176299781827897</v>
      </c>
      <c r="E14" s="21">
        <f t="shared" si="0"/>
        <v>143.49115507720154</v>
      </c>
      <c r="F14" s="21"/>
      <c r="G14" s="21">
        <f t="shared" si="0"/>
        <v>47252.997669475597</v>
      </c>
      <c r="H14" s="21">
        <f t="shared" si="0"/>
        <v>9152.0686747007712</v>
      </c>
      <c r="I14" s="21"/>
      <c r="J14" s="21"/>
      <c r="K14" s="21"/>
      <c r="L14" s="21"/>
      <c r="M14" s="21">
        <f t="shared" si="0"/>
        <v>3018.7585268802563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0.19715737913207249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1.3981878750294994</v>
      </c>
      <c r="C18" s="23"/>
      <c r="D18" s="23">
        <f t="shared" ref="D18:M18" si="1">D14*D16</f>
        <v>3.0656125559292353</v>
      </c>
      <c r="E18" s="23">
        <f t="shared" si="1"/>
        <v>32.572492202524749</v>
      </c>
      <c r="F18" s="23"/>
      <c r="G18" s="23">
        <f t="shared" si="1"/>
        <v>12616.550377749985</v>
      </c>
      <c r="H18" s="23">
        <f t="shared" si="1"/>
        <v>2278.865100000492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3.6176646843529936E-3</v>
      </c>
      <c r="H50" s="319">
        <f t="shared" si="2"/>
        <v>0</v>
      </c>
      <c r="I50" s="319">
        <f t="shared" si="2"/>
        <v>0</v>
      </c>
      <c r="J50" s="319">
        <f t="shared" si="2"/>
        <v>0</v>
      </c>
      <c r="K50" s="319">
        <f t="shared" si="2"/>
        <v>0</v>
      </c>
      <c r="L50" s="319">
        <f t="shared" si="2"/>
        <v>0</v>
      </c>
      <c r="M50" s="319">
        <f t="shared" si="2"/>
        <v>2.0677470224307639E-4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3.6176646843529936E-3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2.0677470224307639E-4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1004.9068567647204</v>
      </c>
      <c r="H54" s="21">
        <f t="shared" si="3"/>
        <v>0</v>
      </c>
      <c r="I54" s="21">
        <f t="shared" si="3"/>
        <v>0</v>
      </c>
      <c r="J54" s="21">
        <f t="shared" si="3"/>
        <v>0</v>
      </c>
      <c r="K54" s="21">
        <f t="shared" si="3"/>
        <v>0</v>
      </c>
      <c r="L54" s="21">
        <f t="shared" si="3"/>
        <v>0</v>
      </c>
      <c r="M54" s="21">
        <f t="shared" si="3"/>
        <v>57.437417289743436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0.19715737913207249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268.31013075618034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394.47533632286996</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8519.7279666155755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1202.55</v>
      </c>
      <c r="C8" s="545">
        <f>B50</f>
        <v>0</v>
      </c>
      <c r="D8" s="1022"/>
      <c r="E8" s="1022">
        <f>E50</f>
        <v>0</v>
      </c>
      <c r="F8" s="1023"/>
      <c r="G8" s="546"/>
      <c r="H8" s="1022">
        <f>I50</f>
        <v>0</v>
      </c>
      <c r="I8" s="1022">
        <f>G50+F50</f>
        <v>0</v>
      </c>
      <c r="J8" s="1022">
        <f>H50+D50+C50</f>
        <v>1414.7647058823527</v>
      </c>
      <c r="K8" s="1022"/>
      <c r="L8" s="1022"/>
      <c r="M8" s="1022"/>
      <c r="N8" s="547"/>
      <c r="O8" s="548">
        <f>C8*$C$12+D8*$D$12+E8*$E$12+F8*$F$12+G8*$G$12+H8*$H$12+I8*$I$12+J8*$J$12</f>
        <v>0</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10116.753302938445</v>
      </c>
      <c r="C10" s="558">
        <f t="shared" ref="C10:L10" si="0">SUM(C8:C9)</f>
        <v>0</v>
      </c>
      <c r="D10" s="558">
        <f t="shared" si="0"/>
        <v>0</v>
      </c>
      <c r="E10" s="558">
        <f t="shared" si="0"/>
        <v>0</v>
      </c>
      <c r="F10" s="558">
        <f t="shared" si="0"/>
        <v>0</v>
      </c>
      <c r="G10" s="558">
        <f t="shared" si="0"/>
        <v>0</v>
      </c>
      <c r="H10" s="558">
        <f t="shared" si="0"/>
        <v>0</v>
      </c>
      <c r="I10" s="558">
        <f t="shared" si="0"/>
        <v>0</v>
      </c>
      <c r="J10" s="558">
        <f t="shared" si="0"/>
        <v>1414.7647058823527</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1717.9285714285716</v>
      </c>
      <c r="C17" s="570">
        <f>B51</f>
        <v>0</v>
      </c>
      <c r="D17" s="571"/>
      <c r="E17" s="571">
        <f>E51</f>
        <v>0</v>
      </c>
      <c r="F17" s="1028"/>
      <c r="G17" s="572"/>
      <c r="H17" s="570">
        <f>I51</f>
        <v>0</v>
      </c>
      <c r="I17" s="571">
        <f>G51+F51</f>
        <v>0</v>
      </c>
      <c r="J17" s="571">
        <f>H51+D51+C51</f>
        <v>2021.0924369747902</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1717.9285714285716</v>
      </c>
      <c r="C20" s="557">
        <f>SUM(C17:C19)</f>
        <v>0</v>
      </c>
      <c r="D20" s="557">
        <f t="shared" ref="D20:L20" si="1">SUM(D17:D19)</f>
        <v>0</v>
      </c>
      <c r="E20" s="557">
        <f t="shared" si="1"/>
        <v>0</v>
      </c>
      <c r="F20" s="557">
        <f t="shared" si="1"/>
        <v>0</v>
      </c>
      <c r="G20" s="557">
        <f t="shared" si="1"/>
        <v>0</v>
      </c>
      <c r="H20" s="557">
        <f t="shared" si="1"/>
        <v>0</v>
      </c>
      <c r="I20" s="557">
        <f t="shared" si="1"/>
        <v>0</v>
      </c>
      <c r="J20" s="557">
        <f t="shared" si="1"/>
        <v>2021.0924369747902</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72003</v>
      </c>
      <c r="C28" s="771">
        <v>3950</v>
      </c>
      <c r="D28" s="628" t="s">
        <v>913</v>
      </c>
      <c r="E28" s="627" t="s">
        <v>914</v>
      </c>
      <c r="F28" s="627" t="s">
        <v>915</v>
      </c>
      <c r="G28" s="627" t="s">
        <v>916</v>
      </c>
      <c r="H28" s="627" t="s">
        <v>917</v>
      </c>
      <c r="I28" s="627" t="s">
        <v>918</v>
      </c>
      <c r="J28" s="770">
        <v>41078</v>
      </c>
      <c r="K28" s="770">
        <v>41244</v>
      </c>
      <c r="L28" s="627" t="s">
        <v>919</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81" customFormat="1" ht="25.5">
      <c r="A29" s="580"/>
      <c r="B29" s="771">
        <v>72003</v>
      </c>
      <c r="C29" s="771">
        <v>3950</v>
      </c>
      <c r="D29" s="628" t="s">
        <v>913</v>
      </c>
      <c r="E29" s="627" t="s">
        <v>914</v>
      </c>
      <c r="F29" s="627" t="s">
        <v>920</v>
      </c>
      <c r="G29" s="627" t="s">
        <v>916</v>
      </c>
      <c r="H29" s="627" t="s">
        <v>917</v>
      </c>
      <c r="I29" s="627" t="s">
        <v>921</v>
      </c>
      <c r="J29" s="770">
        <v>41078</v>
      </c>
      <c r="K29" s="770">
        <v>41275</v>
      </c>
      <c r="L29" s="627" t="s">
        <v>919</v>
      </c>
      <c r="M29" s="627">
        <v>9.6999999999999993</v>
      </c>
      <c r="N29" s="627">
        <v>43.649999999999991</v>
      </c>
      <c r="O29" s="627">
        <v>62.357142857142847</v>
      </c>
      <c r="P29" s="627">
        <v>0</v>
      </c>
      <c r="Q29" s="627">
        <v>124.71428571428569</v>
      </c>
      <c r="R29" s="627">
        <v>0</v>
      </c>
      <c r="S29" s="627">
        <v>0</v>
      </c>
      <c r="T29" s="627">
        <v>0</v>
      </c>
      <c r="U29" s="627">
        <v>0</v>
      </c>
      <c r="V29" s="627">
        <v>0</v>
      </c>
      <c r="W29" s="627">
        <v>0</v>
      </c>
      <c r="X29" s="627">
        <v>10</v>
      </c>
      <c r="Y29" s="627" t="s">
        <v>111</v>
      </c>
      <c r="Z29" s="629" t="s">
        <v>111</v>
      </c>
    </row>
    <row r="30" spans="1:26" s="581" customFormat="1" ht="63.75">
      <c r="A30" s="580"/>
      <c r="B30" s="771">
        <v>72003</v>
      </c>
      <c r="C30" s="771">
        <v>3950</v>
      </c>
      <c r="D30" s="628" t="s">
        <v>922</v>
      </c>
      <c r="E30" s="627" t="s">
        <v>923</v>
      </c>
      <c r="F30" s="627" t="s">
        <v>924</v>
      </c>
      <c r="G30" s="627" t="s">
        <v>916</v>
      </c>
      <c r="H30" s="627" t="s">
        <v>917</v>
      </c>
      <c r="I30" s="627" t="s">
        <v>925</v>
      </c>
      <c r="J30" s="770">
        <v>41961</v>
      </c>
      <c r="K30" s="770">
        <v>41961</v>
      </c>
      <c r="L30" s="627" t="s">
        <v>919</v>
      </c>
      <c r="M30" s="627">
        <v>2974</v>
      </c>
      <c r="N30" s="627">
        <v>1115.25</v>
      </c>
      <c r="O30" s="627">
        <v>1593.2142857142858</v>
      </c>
      <c r="P30" s="627">
        <v>0</v>
      </c>
      <c r="Q30" s="627">
        <v>3186.4285714285716</v>
      </c>
      <c r="R30" s="627">
        <v>0</v>
      </c>
      <c r="S30" s="627">
        <v>0</v>
      </c>
      <c r="T30" s="627">
        <v>0</v>
      </c>
      <c r="U30" s="627">
        <v>0</v>
      </c>
      <c r="V30" s="627">
        <v>0</v>
      </c>
      <c r="W30" s="627">
        <v>0</v>
      </c>
      <c r="X30" s="627">
        <v>1600</v>
      </c>
      <c r="Y30" s="627" t="s">
        <v>49</v>
      </c>
      <c r="Z30" s="629" t="s">
        <v>155</v>
      </c>
    </row>
    <row r="31" spans="1:26" s="565" customFormat="1">
      <c r="A31" s="583" t="s">
        <v>279</v>
      </c>
      <c r="B31" s="584"/>
      <c r="C31" s="584"/>
      <c r="D31" s="584"/>
      <c r="E31" s="584"/>
      <c r="F31" s="584"/>
      <c r="G31" s="584"/>
      <c r="H31" s="584"/>
      <c r="I31" s="584"/>
      <c r="J31" s="584"/>
      <c r="K31" s="584"/>
      <c r="L31" s="585"/>
      <c r="M31" s="585">
        <f>SUM(M28:M30)</f>
        <v>2993.4</v>
      </c>
      <c r="N31" s="585">
        <f>SUM(N28:N30)</f>
        <v>1202.55</v>
      </c>
      <c r="O31" s="585">
        <f>SUM(O28:O30)</f>
        <v>1717.9285714285716</v>
      </c>
      <c r="P31" s="585">
        <f>SUM(P28:P30)</f>
        <v>0</v>
      </c>
      <c r="Q31" s="585">
        <f>SUM(Q28:Q30)</f>
        <v>3435.8571428571431</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2974</v>
      </c>
      <c r="N33" s="585">
        <f ca="1">SUMIF($Z$28:AD30,"tertiair",N28:N30)</f>
        <v>1115.25</v>
      </c>
      <c r="O33" s="585">
        <f ca="1">SUMIF($Z$28:AE30,"tertiair",O28:O30)</f>
        <v>1593.2142857142858</v>
      </c>
      <c r="P33" s="585">
        <f ca="1">SUMIF($Z$28:AF30,"tertiair",P28:P30)</f>
        <v>0</v>
      </c>
      <c r="Q33" s="585">
        <f ca="1">SUMIF($Z$28:AG30,"tertiair",Q28:Q30)</f>
        <v>3186.4285714285716</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19.399999999999999</v>
      </c>
      <c r="N34" s="590">
        <f>SUMIF($Z$28:$Z$30,"landbouw",N28:N30)</f>
        <v>87.299999999999983</v>
      </c>
      <c r="O34" s="590">
        <f>SUMIF($Z$28:$Z$30,"landbouw",O28:O30)</f>
        <v>124.71428571428569</v>
      </c>
      <c r="P34" s="590">
        <f>SUMIF($Z$28:$Z$30,"landbouw",P28:P30)</f>
        <v>0</v>
      </c>
      <c r="Q34" s="590">
        <f>SUMIF($Z$28:$Z$30,"landbouw",Q28:Q30)</f>
        <v>249.42857142857139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0.41176470588235287</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0</v>
      </c>
      <c r="C50" s="619">
        <f t="shared" si="2"/>
        <v>1414.7647058823527</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0</v>
      </c>
      <c r="C51" s="622">
        <f t="shared" si="3"/>
        <v>2021.0924369747902</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2020-06-20T16:11:58Z</dcterms:modified>
</cp:coreProperties>
</file>