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P16" i="14" s="1"/>
  <c r="P27" i="14" s="1"/>
  <c r="O8" i="48"/>
  <c r="O26" i="48" s="1"/>
  <c r="P33" i="48"/>
  <c r="Q63" i="14"/>
  <c r="F24" i="14"/>
  <c r="F26" i="14" s="1"/>
  <c r="E7" i="48"/>
  <c r="E25" i="48"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<sst xmlns="http://schemas.openxmlformats.org/spreadsheetml/2006/main" count="2434" uniqueCount="913">
  <si>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</si>
  <si>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</si>
  <si>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</si>
  <si>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</si>
  <si>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</si>
  <si>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</si>
  <si>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</si>
  <si>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</si>
  <si>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</si>
  <si>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</si>
  <si>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</si>
  <si>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</si>
  <si>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</si>
  <si>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</si>
  <si>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</si>
  <si>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</si>
  <si>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</si>
  <si>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</si>
  <si>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</si>
  <si>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</si>
  <si>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</si>
  <si>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</si>
  <si>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</si>
  <si>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</si>
  <si>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</si>
  <si>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</si>
  <si>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</si>
  <si>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</si>
  <si>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</si>
  <si>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</si>
  <si>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</si>
  <si>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</si>
  <si>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</si>
  <si>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</si>
  <si>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</si>
  <si>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</si>
  <si>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</si>
  <si>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</si>
  <si>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</si>
  <si>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</si>
  <si>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</si>
  <si>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</si>
  <si>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</si>
  <si>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</si>
  <si>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</si>
  <si>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</si>
  <si>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</si>
  <si>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</si>
  <si>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</si>
  <si>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</si>
  <si>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</si>
  <si>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</si>
  <si>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</si>
  <si>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</si>
  <si>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</si>
  <si>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</si>
  <si>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</si>
  <si>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</si>
  <si>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</si>
  <si>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</si>
  <si>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</si>
  <si>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</si>
  <si>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</si>
  <si>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</si>
  <si>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</si>
  <si>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</si>
  <si>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</si>
  <si>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</si>
  <si>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</si>
  <si>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</si>
  <si>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</si>
  <si>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</si>
  <si>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</si>
  <si>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</si>
  <si>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</si>
  <si>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</si>
  <si>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</si>
  <si>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</si>
  <si>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</si>
  <si>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</si>
  <si>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</si>
  <si>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</si>
  <si>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</si>
  <si>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</si>
  <si>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</si>
  <si>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</si>
  <si>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</si>
  <si>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</si>
  <si>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</si>
  <si>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</si>
  <si>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</si>
  <si>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</si>
  <si>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</si>
  <si>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</si>
  <si>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</si>
  <si>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</si>
  <si>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</si>
  <si>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</si>
  <si>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</si>
  <si>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</si>
  <si>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</si>
  <si>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</si>
  <si>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</si>
  <si>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</si>
  <si>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</si>
  <si>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</si>
  <si>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</si>
  <si>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</si>
  <si>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</si>
  <si>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</si>
  <si>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</si>
  <si>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</si>
  <si>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</si>
  <si>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</si>
  <si>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</si>
  <si>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</si>
  <si>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</si>
  <si>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</si>
  <si>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</si>
  <si>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</si>
  <si>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</si>
  <si>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</si>
  <si>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</si>
  <si>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</si>
  <si>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</si>
  <si>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</si>
  <si>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</si>
  <si>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</si>
  <si>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</si>
  <si>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</si>
  <si>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</si>
  <si>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</si>
  <si>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</si>
  <si>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</si>
  <si>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</si>
  <si>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</si>
  <si>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</si>
  <si>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</si>
  <si>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</si>
  <si>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</si>
  <si>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</si>
  <si>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</si>
  <si>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</si>
  <si>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</si>
  <si>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</si>
  <si>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</si>
  <si>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</si>
  <si>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</si>
  <si>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</si>
  <si>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</si>
  <si>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</si>
  <si>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</si>
  <si>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</si>
  <si>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</si>
  <si>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</si>
  <si>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</si>
  <si>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</si>
  <si>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</si>
  <si>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</si>
  <si>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</si>
  <si>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</si>
  <si>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</si>
  <si>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</si>
  <si>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</si>
  <si>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</si>
  <si>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</si>
  <si>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</si>
  <si>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</si>
  <si>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</si>
  <si>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</si>
  <si>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</si>
  <si>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</si>
  <si>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</si>
  <si>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</si>
  <si>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</si>
  <si>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</si>
  <si>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</si>
  <si>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</si>
  <si>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</si>
  <si>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</si>
  <si>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</si>
  <si>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</si>
  <si>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</si>
  <si>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</si>
  <si>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</si>
  <si>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</si>
  <si>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</si>
  <si>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</si>
  <si>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</si>
  <si>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</si>
  <si>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</si>
  <si>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</si>
  <si>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</si>
  <si>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</si>
  <si>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</si>
  <si>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</si>
  <si>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</si>
  <si>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</si>
  <si>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</si>
  <si>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</si>
  <si>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</si>
  <si>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</si>
  <si>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</si>
  <si>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</si>
  <si>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</si>
  <si>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</si>
  <si>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</si>
  <si>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</si>
  <si>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</si>
  <si>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</si>
  <si>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</si>
  <si>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</si>
  <si>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</si>
  <si>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</si>
  <si>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</si>
  <si>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</si>
  <si>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</si>
  <si>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</si>
  <si>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</si>
  <si>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</si>
  <si>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</si>
  <si>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</si>
  <si>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</si>
  <si>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</si>
  <si>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</si>
  <si>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</si>
  <si>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</si>
  <si>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</si>
  <si>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</si>
  <si>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</si>
  <si>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</si>
  <si>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</si>
  <si>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</si>
  <si>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</si>
  <si>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</si>
  <si>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</si>
  <si>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</si>
  <si>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</si>
  <si>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</si>
  <si>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</si>
  <si>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</si>
  <si>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</si>
  <si>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</si>
  <si>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</si>
  <si>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</si>
  <si>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</si>
  <si>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</si>
  <si>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</si>
  <si>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</si>
  <si>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</si>
  <si>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</si>
  <si>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</si>
  <si>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</si>
  <si>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</si>
  <si>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</si>
  <si>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</si>
  <si>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</si>
  <si>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</si>
  <si>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</si>
  <si>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</si>
  <si>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</si>
  <si>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</si>
  <si>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</si>
  <si>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</si>
  <si>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</si>
  <si>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</si>
  <si>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</si>
  <si>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</si>
  <si>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</si>
  <si>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</si>
  <si>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</si>
  <si>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</si>
  <si>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</si>
  <si>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</si>
  <si>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</si>
  <si>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</si>
  <si>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</si>
  <si>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</si>
  <si>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</si>
  <si>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</si>
  <si>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</si>
  <si>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</si>
  <si>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</si>
  <si>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</si>
  <si>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</si>
  <si>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</si>
  <si>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</si>
  <si>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</si>
  <si>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</si>
  <si>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</si>
  <si>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</si>
  <si>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</si>
  <si>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</si>
  <si>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</si>
  <si>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</si>
  <si>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</si>
  <si>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</si>
  <si>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</si>
  <si>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</si>
  <si>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</si>
  <si>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</si>
  <si>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</si>
  <si>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</si>
  <si>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</si>
  <si>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</si>
  <si>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</si>
  <si>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</si>
  <si>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</si>
  <si>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</si>
  <si>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</si>
  <si>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</si>
  <si>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</si>
  <si>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</si>
  <si>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</si>
  <si>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</si>
  <si>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</si>
  <si>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</si>
  <si>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</si>
  <si>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</si>
  <si>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</si>
  <si>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</si>
  <si>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</si>
  <si>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</si>
  <si>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</si>
  <si>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</si>
  <si>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</si>
  <si>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</si>
  <si>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</si>
  <si>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</si>
  <si>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</si>
  <si>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</si>
  <si>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</si>
  <si>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</si>
  <si>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</si>
  <si>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</si>
  <si>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</si>
  <si>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</si>
  <si>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</si>
  <si>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</si>
  <si>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</si>
  <si>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</si>
  <si>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</si>
  <si>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</si>
  <si>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</si>
  <si>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</si>
  <si>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</si>
  <si>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</si>
  <si>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</si>
  <si>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</si>
  <si>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</si>
  <si>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</si>
  <si>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</si>
  <si>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</si>
  <si>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</si>
  <si>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</si>
  <si>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</si>
  <si>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</si>
  <si>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</si>
  <si>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</si>
  <si>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</si>
  <si>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</si>
  <si>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</si>
  <si>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</si>
  <si>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</si>
  <si>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</si>
  <si>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</si>
  <si>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</si>
  <si>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</si>
  <si>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</si>
  <si>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</si>
  <si>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</si>
  <si>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</si>
  <si>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</si>
  <si>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</si>
  <si>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</si>
  <si>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</si>
  <si>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</si>
  <si>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</si>
  <si>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</si>
  <si>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</si>
  <si>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</si>
  <si>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</si>
  <si>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</si>
  <si>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</si>
  <si>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</si>
  <si>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</si>
  <si>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</si>
  <si>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</si>
  <si>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</si>
  <si>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</si>
  <si>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</si>
  <si>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</si>
  <si>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</si>
  <si>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</si>
  <si>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</si>
  <si>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</si>
  <si>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</si>
  <si>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</si>
  <si>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</si>
  <si>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</si>
  <si>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</si>
  <si>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</si>
  <si>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</si>
  <si>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</si>
  <si>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</si>
  <si>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</si>
  <si>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</si>
  <si>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</si>
  <si>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</si>
  <si>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</si>
  <si>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</si>
  <si>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</si>
  <si>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</si>
  <si>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</si>
  <si>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</si>
  <si>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</si>
  <si>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</si>
  <si>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</si>
  <si>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</si>
  <si>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</si>
  <si>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</si>
  <si>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</si>
  <si>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</si>
  <si>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</si>
  <si>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</si>
  <si>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</si>
  <si>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</si>
  <si>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</si>
  <si>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</si>
  <si>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</si>
  <si>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</si>
  <si>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</si>
  <si>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</si>
  <si>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</si>
  <si>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</si>
  <si>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</si>
  <si>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</si>
  <si>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</si>
  <si>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</si>
  <si>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</si>
  <si>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</si>
  <si>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</si>
  <si>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</si>
  <si>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</si>
  <si>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</si>
  <si>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</si>
  <si>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</si>
  <si>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</si>
  <si>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</si>
  <si>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</si>
  <si>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</si>
  <si>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</si>
  <si>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</si>
  <si>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</si>
  <si>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</si>
  <si>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</si>
  <si>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</si>
  <si>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</si>
  <si>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</si>
  <si>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</si>
  <si>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</si>
  <si>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</si>
  <si>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</si>
  <si>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</si>
  <si>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</si>
  <si>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</si>
  <si>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</si>
  <si>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</si>
  <si>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</si>
  <si>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</si>
  <si>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</si>
  <si>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</si>
  <si>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</si>
  <si>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</si>
  <si>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</si>
  <si>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</si>
  <si>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</si>
  <si>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</si>
  <si>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</si>
  <si>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</si>
  <si>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</si>
  <si>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</si>
  <si>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</si>
  <si>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</si>
  <si>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</si>
  <si>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</si>
  <si>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</si>
  <si>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</si>
  <si>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</si>
  <si>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</si>
  <si>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</si>
  <si>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</si>
  <si>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</si>
  <si>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</si>
  <si>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</si>
  <si>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</si>
  <si>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</si>
  <si>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</si>
  <si>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</si>
  <si>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</si>
  <si>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</si>
  <si>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</si>
  <si>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</si>
  <si>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</si>
  <si>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</si>
  <si>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</si>
  <si>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</si>
  <si>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</si>
  <si>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</si>
  <si>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</si>
  <si>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</si>
  <si>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</si>
  <si>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</si>
  <si>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</si>
  <si>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</si>
  <si>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</si>
  <si>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</si>
  <si>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</si>
  <si>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</si>
  <si>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</si>
  <si>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</si>
  <si>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</si>
  <si>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</si>
  <si>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</si>
  <si>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</si>
  <si>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</si>
  <si>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</si>
  <si>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</si>
  <si>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</si>
  <si>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</si>
  <si>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</si>
  <si>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</si>
  <si>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</si>
  <si>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</si>
  <si>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</si>
  <si>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</si>
  <si>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</si>
  <si>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</si>
  <si>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</si>
  <si>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</si>
  <si>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</si>
  <si>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</si>
  <si>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</si>
  <si>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</si>
  <si>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</si>
  <si>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</si>
  <si>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</si>
  <si>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</si>
  <si>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</si>
  <si>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</si>
  <si>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</si>
  <si>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</si>
  <si>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</si>
  <si>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</si>
  <si>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</si>
  <si>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</si>
  <si>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</si>
  <si>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</si>
  <si>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</si>
  <si>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</si>
  <si>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</si>
  <si>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</si>
  <si>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</si>
  <si>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</si>
  <si>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</si>
  <si>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</si>
  <si>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</si>
  <si>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</si>
  <si>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</si>
  <si>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</si>
  <si>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</si>
  <si>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</si>
  <si>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</si>
  <si>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</si>
  <si>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</si>
  <si>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</si>
  <si>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</si>
  <si>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</si>
  <si>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</si>
  <si>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</si>
  <si>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</si>
  <si>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</si>
  <si>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</si>
  <si>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</si>
  <si>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</si>
  <si>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</si>
  <si>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</si>
  <si>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</si>
  <si>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</si>
  <si>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</si>
  <si>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</si>
  <si>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</si>
  <si>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</si>
  <si>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</si>
  <si>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</si>
  <si>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</si>
  <si>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</si>
  <si>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</si>
  <si>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</si>
  <si>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</si>
  <si>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</si>
  <si>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</si>
  <si>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</si>
  <si>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</si>
  <si>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</si>
  <si>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</si>
  <si>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</si>
  <si>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</si>
  <si>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</si>
  <si>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</si>
  <si>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</si>
  <si>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</si>
  <si>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</si>
  <si>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</si>
  <si>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</si>
  <si>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</si>
  <si>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</si>
  <si>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</si>
  <si>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</si>
  <si>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</si>
  <si>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</si>
  <si>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</si>
  <si>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</si>
  <si>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</si>
  <si>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</si>
  <si>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</si>
  <si>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</si>
  <si>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</si>
  <si>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</si>
  <si>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</si>
  <si>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</si>
  <si>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</si>
  <si>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</si>
  <si>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</si>
  <si>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</si>
  <si>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</si>
  <si>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</si>
  <si>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</si>
  <si>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</si>
  <si>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</si>
  <si>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</si>
  <si>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</si>
  <si>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</si>
  <si>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</si>
  <si>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</si>
  <si>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</si>
  <si>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</si>
  <si>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</si>
  <si>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</si>
  <si>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</si>
  <si>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</si>
  <si>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</si>
  <si>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</si>
  <si>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</si>
  <si>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</si>
  <si>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</si>
  <si>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</si>
  <si>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</si>
  <si>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</si>
  <si>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</si>
  <si>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</si>
  <si>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</si>
  <si>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</si>
  <si>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</si>
  <si>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</si>
  <si>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</si>
  <si>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</si>
  <si>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</si>
  <si>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</si>
  <si>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</si>
  <si>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</si>
  <si>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</si>
  <si>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</si>
  <si>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</si>
  <si>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</si>
  <si>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</si>
  <si>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</si>
  <si>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</si>
  <si>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</si>
  <si>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</si>
  <si>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</si>
  <si>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</si>
  <si>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</si>
  <si>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</si>
  <si>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</si>
  <si>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</si>
  <si>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</si>
  <si>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</si>
  <si>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</si>
  <si>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</si>
  <si>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</si>
  <si>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</si>
  <si>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</si>
  <si>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</si>
  <si>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</si>
  <si>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</si>
  <si>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</si>
  <si>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</si>
  <si>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</si>
  <si>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</si>
  <si>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</si>
  <si>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</si>
  <si>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</si>
  <si>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</si>
  <si>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</si>
  <si>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</si>
  <si>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</si>
  <si>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</si>
  <si>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</si>
  <si>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</si>
  <si>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</si>
  <si>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</si>
  <si>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</si>
  <si>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</si>
  <si>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</si>
  <si>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</si>
  <si>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</si>
  <si>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</si>
  <si>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</si>
  <si>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</si>
  <si>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</si>
  <si>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</si>
  <si>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</si>
  <si>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</si>
  <si>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</si>
  <si>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</si>
  <si>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</si>
  <si>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</si>
  <si>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</si>
  <si>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</si>
  <si>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</si>
  <si>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</si>
  <si>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</si>
  <si>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</si>
  <si>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</si>
  <si>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</si>
  <si>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</si>
  <si>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</si>
  <si>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</si>
  <si>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</si>
  <si>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</si>
  <si>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</si>
  <si>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</si>
  <si>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</si>
  <si>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</si>
  <si>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</si>
  <si>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</si>
  <si>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</si>
  <si>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</si>
  <si>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</si>
  <si>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</si>
  <si>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</si>
  <si>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</si>
  <si>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</si>
  <si>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</si>
  <si>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</si>
  <si>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</si>
  <si>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</si>
  <si>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</si>
  <si>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</si>
  <si>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</si>
  <si>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</si>
  <si>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</si>
  <si>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</si>
  <si>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</si>
  <si>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</si>
  <si>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</si>
  <si>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</si>
  <si>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</si>
  <si>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</si>
  <si>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</si>
  <si>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</si>
  <si>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</si>
  <si>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</si>
  <si>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</si>
  <si>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</si>
  <si>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</si>
  <si>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</si>
  <si>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</si>
  <si>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</si>
  <si>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</si>
  <si>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</si>
  <si>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</si>
  <si>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</si>
  <si>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</si>
  <si>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</si>
  <si>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</si>
  <si>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</si>
  <si>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</si>
  <si>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</si>
  <si>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</si>
  <si>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</si>
  <si>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</si>
  <si>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</si>
  <si>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</si>
  <si>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</si>
  <si>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</si>
  <si>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</si>
  <si>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</si>
  <si>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</si>
  <si>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</si>
  <si>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</si>
  <si>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</si>
  <si>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</si>
  <si>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</si>
  <si>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</si>
  <si>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</si>
  <si>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</si>
  <si>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</si>
  <si>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</si>
  <si>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</si>
  <si>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</si>
  <si>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</si>
  <si>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</si>
  <si>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</si>
  <si>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</si>
  <si>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</si>
  <si>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</si>
  <si>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</si>
  <si>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</si>
  <si>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</si>
  <si>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</si>
  <si>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</si>
  <si>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</si>
  <si>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</si>
  <si>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</si>
  <si>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</si>
  <si>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</si>
  <si>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</si>
  <si>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</si>
  <si>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</si>
  <si>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</si>
  <si>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</si>
  <si>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</si>
  <si>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</si>
  <si>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</si>
  <si>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</si>
  <si>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</si>
  <si>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</si>
  <si>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</si>
  <si>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</si>
  <si>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</si>
  <si>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</si>
  <si>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</si>
  <si>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</si>
  <si>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</si>
  <si>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</si>
  <si>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</si>
  <si>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</si>
  <si>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</si>
  <si>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</si>
  <si>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</si>
  <si>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</si>
  <si>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</si>
  <si>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</si>
  <si>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</si>
  <si>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</si>
  <si>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</si>
  <si>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</si>
  <si>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</si>
  <si>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</si>
  <si>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</si>
  <si>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</si>
  <si>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</si>
  <si>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</si>
  <si>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</si>
  <si>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</si>
  <si>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</si>
  <si>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</si>
  <si>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</si>
  <si>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</si>
  <si>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</si>
  <si>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</si>
  <si>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</si>
  <si>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</si>
  <si>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</si>
  <si>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</si>
  <si>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</si>
  <si>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</si>
  <si>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</si>
  <si>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</si>
  <si>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</si>
  <si>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</si>
  <si>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</si>
  <si>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</si>
  <si>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</si>
  <si>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</si>
  <si>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</si>
  <si>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</si>
  <si>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</si>
  <si>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</si>
  <si>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</si>
  <si>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</si>
  <si>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</si>
  <si>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</si>
  <si>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</si>
  <si>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</si>
  <si>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</si>
  <si>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</si>
  <si>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</si>
  <si>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</si>
  <si>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</si>
  <si>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</si>
  <si>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</si>
  <si>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</si>
  <si>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</si>
  <si>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</si>
  <si>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71067</t>
  </si>
  <si>
    <t>ZUTENDAAL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</si>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</sst>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63253.555371665767</c:v>
                </c:pt>
                <c:pt idx="1">
                  <c:v>14321.382098537477</c:v>
                </c:pt>
                <c:pt idx="2">
                  <c:v>703.31799999999998</c:v>
                </c:pt>
                <c:pt idx="3">
                  <c:v>773.02930088220751</c:v>
                </c:pt>
                <c:pt idx="4">
                  <c:v>11556.063403853674</c:v>
                </c:pt>
                <c:pt idx="5">
                  <c:v>76725.739950185947</c:v>
                </c:pt>
                <c:pt idx="6">
                  <c:v>1209.5271897801138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63253.555371665767</c:v>
                </c:pt>
                <c:pt idx="1">
                  <c:v>14321.382098537477</c:v>
                </c:pt>
                <c:pt idx="2">
                  <c:v>703.31799999999998</c:v>
                </c:pt>
                <c:pt idx="3">
                  <c:v>773.02930088220751</c:v>
                </c:pt>
                <c:pt idx="4">
                  <c:v>11556.063403853674</c:v>
                </c:pt>
                <c:pt idx="5">
                  <c:v>76725.739950185947</c:v>
                </c:pt>
                <c:pt idx="6">
                  <c:v>1209.5271897801138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11626.758468974484</c:v>
                </c:pt>
                <c:pt idx="2">
                  <c:v>1823.7160813172138</c:v>
                </c:pt>
                <c:pt idx="3">
                  <c:v>52.772235640726244</c:v>
                </c:pt>
                <c:pt idx="4">
                  <c:v>167.52925528412104</c:v>
                </c:pt>
                <c:pt idx="5">
                  <c:v>1541.2806030266015</c:v>
                </c:pt>
                <c:pt idx="6">
                  <c:v>19224.455699364309</c:v>
                </c:pt>
                <c:pt idx="7">
                  <c:v>305.48326598917583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11626.758468974484</c:v>
                </c:pt>
                <c:pt idx="2">
                  <c:v>1823.7160813172138</c:v>
                </c:pt>
                <c:pt idx="3">
                  <c:v>52.772235640726244</c:v>
                </c:pt>
                <c:pt idx="4">
                  <c:v>167.52925528412104</c:v>
                </c:pt>
                <c:pt idx="5">
                  <c:v>1541.2806030266015</c:v>
                </c:pt>
                <c:pt idx="6">
                  <c:v>19224.455699364309</c:v>
                </c:pt>
                <c:pt idx="7">
                  <c:v>305.48326598917583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71067</v>
      </c>
      <c r="B6" s="391"/>
      <c r="C6" s="392"/>
    </row>
    <row r="7" spans="1:7" s="389" customFormat="1" ht="15.75" customHeight="1">
      <c r="A7" s="393" t="str">
        <f>txtMunicipality</f>
        <v>ZUTENDAAL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8649.0739999999987</v>
      </c>
      <c r="D10" s="991">
        <f ca="1">tertiair!C16</f>
        <v>0</v>
      </c>
      <c r="E10" s="991">
        <f ca="1">tertiair!D16</f>
        <v>4253.16903</v>
      </c>
      <c r="F10" s="991">
        <f>tertiair!E16</f>
        <v>124.50377409927168</v>
      </c>
      <c r="G10" s="991">
        <f ca="1">tertiair!F16</f>
        <v>1273.8489908831696</v>
      </c>
      <c r="H10" s="991">
        <f>tertiair!G16</f>
        <v>0</v>
      </c>
      <c r="I10" s="991">
        <f>tertiair!H16</f>
        <v>0</v>
      </c>
      <c r="J10" s="991">
        <f>tertiair!I16</f>
        <v>0</v>
      </c>
      <c r="K10" s="991">
        <f>tertiair!J16</f>
        <v>0</v>
      </c>
      <c r="L10" s="991">
        <f>tertiair!K16</f>
        <v>0</v>
      </c>
      <c r="M10" s="991">
        <f ca="1">tertiair!L16</f>
        <v>0</v>
      </c>
      <c r="N10" s="991">
        <f>tertiair!M16</f>
        <v>0</v>
      </c>
      <c r="O10" s="991">
        <f ca="1">tertiair!N16</f>
        <v>724.10430355503649</v>
      </c>
      <c r="P10" s="991">
        <f>tertiair!O16</f>
        <v>0</v>
      </c>
      <c r="Q10" s="992">
        <f>tertiair!P16</f>
        <v>0</v>
      </c>
      <c r="R10" s="675">
        <f ca="1">SUM(C10:Q10)</f>
        <v>15024.700098537476</v>
      </c>
      <c r="S10" s="67"/>
    </row>
    <row r="11" spans="1:19" s="448" customFormat="1">
      <c r="A11" s="784" t="s">
        <v>224</v>
      </c>
      <c r="B11" s="789"/>
      <c r="C11" s="991">
        <f>huishoudens!B8</f>
        <v>13978.696972756581</v>
      </c>
      <c r="D11" s="991">
        <f>huishoudens!C8</f>
        <v>0</v>
      </c>
      <c r="E11" s="991">
        <f>huishoudens!D8</f>
        <v>14465.651816000001</v>
      </c>
      <c r="F11" s="991">
        <f>huishoudens!E8</f>
        <v>3137.9773350799155</v>
      </c>
      <c r="G11" s="991">
        <f>huishoudens!F8</f>
        <v>26005.651221510376</v>
      </c>
      <c r="H11" s="991">
        <f>huishoudens!G8</f>
        <v>0</v>
      </c>
      <c r="I11" s="991">
        <f>huishoudens!H8</f>
        <v>0</v>
      </c>
      <c r="J11" s="991">
        <f>huishoudens!I8</f>
        <v>0</v>
      </c>
      <c r="K11" s="991">
        <f>huishoudens!J8</f>
        <v>0</v>
      </c>
      <c r="L11" s="991">
        <f>huishoudens!K8</f>
        <v>0</v>
      </c>
      <c r="M11" s="991">
        <f>huishoudens!L8</f>
        <v>0</v>
      </c>
      <c r="N11" s="991">
        <f>huishoudens!M8</f>
        <v>0</v>
      </c>
      <c r="O11" s="991">
        <f>huishoudens!N8</f>
        <v>5129.1680263188882</v>
      </c>
      <c r="P11" s="991">
        <f>huishoudens!O8</f>
        <v>136.01000000000002</v>
      </c>
      <c r="Q11" s="992">
        <f>huishoudens!P8</f>
        <v>400.4</v>
      </c>
      <c r="R11" s="675">
        <f>SUM(C11:Q11)</f>
        <v>63253.555371665767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6902.1550000000007</v>
      </c>
      <c r="D13" s="991">
        <f>industrie!C18</f>
        <v>0</v>
      </c>
      <c r="E13" s="991">
        <f>industrie!D18</f>
        <v>2223.3876059999998</v>
      </c>
      <c r="F13" s="991">
        <f>industrie!E18</f>
        <v>437.09045807227864</v>
      </c>
      <c r="G13" s="991">
        <f>industrie!F18</f>
        <v>1764.350853971906</v>
      </c>
      <c r="H13" s="991">
        <f>industrie!G18</f>
        <v>0</v>
      </c>
      <c r="I13" s="991">
        <f>industrie!H18</f>
        <v>0</v>
      </c>
      <c r="J13" s="991">
        <f>industrie!I18</f>
        <v>0</v>
      </c>
      <c r="K13" s="991">
        <f>industrie!J18</f>
        <v>11.197654957007321</v>
      </c>
      <c r="L13" s="991">
        <f>industrie!K18</f>
        <v>0</v>
      </c>
      <c r="M13" s="991">
        <f>industrie!L18</f>
        <v>0</v>
      </c>
      <c r="N13" s="991">
        <f>industrie!M18</f>
        <v>0</v>
      </c>
      <c r="O13" s="991">
        <f>industrie!N18</f>
        <v>217.88183085248008</v>
      </c>
      <c r="P13" s="991">
        <f>industrie!O18</f>
        <v>0</v>
      </c>
      <c r="Q13" s="992">
        <f>industrie!P18</f>
        <v>0</v>
      </c>
      <c r="R13" s="675">
        <f>SUM(C13:Q13)</f>
        <v>11556.063403853674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29529.92597275658</v>
      </c>
      <c r="D16" s="707">
        <f t="shared" ref="D16:R16" ca="1" si="0">SUM(D9:D15)</f>
        <v>0</v>
      </c>
      <c r="E16" s="707">
        <f t="shared" ca="1" si="0"/>
        <v>20942.208452000003</v>
      </c>
      <c r="F16" s="707">
        <f t="shared" si="0"/>
        <v>3699.5715672514657</v>
      </c>
      <c r="G16" s="707">
        <f t="shared" ca="1" si="0"/>
        <v>29043.851066365452</v>
      </c>
      <c r="H16" s="707">
        <f t="shared" si="0"/>
        <v>0</v>
      </c>
      <c r="I16" s="707">
        <f t="shared" si="0"/>
        <v>0</v>
      </c>
      <c r="J16" s="707">
        <f t="shared" si="0"/>
        <v>0</v>
      </c>
      <c r="K16" s="707">
        <f t="shared" si="0"/>
        <v>11.197654957007321</v>
      </c>
      <c r="L16" s="707">
        <f t="shared" si="0"/>
        <v>0</v>
      </c>
      <c r="M16" s="707">
        <f t="shared" ca="1" si="0"/>
        <v>0</v>
      </c>
      <c r="N16" s="707">
        <f t="shared" si="0"/>
        <v>0</v>
      </c>
      <c r="O16" s="707">
        <f t="shared" ca="1" si="0"/>
        <v>6071.1541607264044</v>
      </c>
      <c r="P16" s="707">
        <f t="shared" si="0"/>
        <v>136.01000000000002</v>
      </c>
      <c r="Q16" s="707">
        <f t="shared" si="0"/>
        <v>400.4</v>
      </c>
      <c r="R16" s="707">
        <f t="shared" ca="1" si="0"/>
        <v>89834.318874056917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1144.1320823564638</v>
      </c>
      <c r="I19" s="991">
        <f>transport!H54</f>
        <v>0</v>
      </c>
      <c r="J19" s="991">
        <f>transport!I54</f>
        <v>0</v>
      </c>
      <c r="K19" s="991">
        <f>transport!J54</f>
        <v>0</v>
      </c>
      <c r="L19" s="991">
        <f>transport!K54</f>
        <v>0</v>
      </c>
      <c r="M19" s="991">
        <f>transport!L54</f>
        <v>0</v>
      </c>
      <c r="N19" s="991">
        <f>transport!M54</f>
        <v>65.395107423649975</v>
      </c>
      <c r="O19" s="991">
        <f>transport!N54</f>
        <v>0</v>
      </c>
      <c r="P19" s="991">
        <f>transport!O54</f>
        <v>0</v>
      </c>
      <c r="Q19" s="992">
        <f>transport!P54</f>
        <v>0</v>
      </c>
      <c r="R19" s="675">
        <f>SUM(C19:Q19)</f>
        <v>1209.5271897801138</v>
      </c>
      <c r="S19" s="67"/>
    </row>
    <row r="20" spans="1:19" s="448" customFormat="1">
      <c r="A20" s="784" t="s">
        <v>306</v>
      </c>
      <c r="B20" s="789"/>
      <c r="C20" s="991">
        <f>transport!B14</f>
        <v>10.031923389588234</v>
      </c>
      <c r="D20" s="991">
        <f>transport!C14</f>
        <v>0</v>
      </c>
      <c r="E20" s="991">
        <f>transport!D14</f>
        <v>19.284520235498523</v>
      </c>
      <c r="F20" s="991">
        <f>transport!E14</f>
        <v>194.50052197229718</v>
      </c>
      <c r="G20" s="991">
        <f>transport!F14</f>
        <v>0</v>
      </c>
      <c r="H20" s="991">
        <f>transport!G14</f>
        <v>60778.295497581443</v>
      </c>
      <c r="I20" s="991">
        <f>transport!H14</f>
        <v>11838.758964315595</v>
      </c>
      <c r="J20" s="991">
        <f>transport!I14</f>
        <v>0</v>
      </c>
      <c r="K20" s="991">
        <f>transport!J14</f>
        <v>0</v>
      </c>
      <c r="L20" s="991">
        <f>transport!K14</f>
        <v>0</v>
      </c>
      <c r="M20" s="991">
        <f>transport!L14</f>
        <v>0</v>
      </c>
      <c r="N20" s="991">
        <f>transport!M14</f>
        <v>3884.8685226915277</v>
      </c>
      <c r="O20" s="991">
        <f>transport!N14</f>
        <v>0</v>
      </c>
      <c r="P20" s="991">
        <f>transport!O14</f>
        <v>0</v>
      </c>
      <c r="Q20" s="992">
        <f>transport!P14</f>
        <v>0</v>
      </c>
      <c r="R20" s="675">
        <f>SUM(C20:Q20)</f>
        <v>76725.739950185947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10.031923389588234</v>
      </c>
      <c r="D22" s="787">
        <f t="shared" ref="D22:R22" si="1">SUM(D18:D21)</f>
        <v>0</v>
      </c>
      <c r="E22" s="787">
        <f t="shared" si="1"/>
        <v>19.284520235498523</v>
      </c>
      <c r="F22" s="787">
        <f t="shared" si="1"/>
        <v>194.50052197229718</v>
      </c>
      <c r="G22" s="787">
        <f t="shared" si="1"/>
        <v>0</v>
      </c>
      <c r="H22" s="787">
        <f t="shared" si="1"/>
        <v>61922.42757993791</v>
      </c>
      <c r="I22" s="787">
        <f t="shared" si="1"/>
        <v>11838.758964315595</v>
      </c>
      <c r="J22" s="787">
        <f t="shared" si="1"/>
        <v>0</v>
      </c>
      <c r="K22" s="787">
        <f t="shared" si="1"/>
        <v>0</v>
      </c>
      <c r="L22" s="787">
        <f t="shared" si="1"/>
        <v>0</v>
      </c>
      <c r="M22" s="787">
        <f t="shared" si="1"/>
        <v>0</v>
      </c>
      <c r="N22" s="787">
        <f t="shared" si="1"/>
        <v>3950.2636301151779</v>
      </c>
      <c r="O22" s="787">
        <f t="shared" si="1"/>
        <v>0</v>
      </c>
      <c r="P22" s="787">
        <f t="shared" si="1"/>
        <v>0</v>
      </c>
      <c r="Q22" s="787">
        <f t="shared" si="1"/>
        <v>0</v>
      </c>
      <c r="R22" s="787">
        <f t="shared" si="1"/>
        <v>77935.267139966061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185.041</v>
      </c>
      <c r="D24" s="991">
        <f>+landbouw!C8</f>
        <v>0</v>
      </c>
      <c r="E24" s="991">
        <f>+landbouw!D8</f>
        <v>88.421256000000014</v>
      </c>
      <c r="F24" s="991">
        <f>+landbouw!E8</f>
        <v>1.7139272442949598</v>
      </c>
      <c r="G24" s="991">
        <f>+landbouw!F8</f>
        <v>469.48426727432548</v>
      </c>
      <c r="H24" s="991">
        <f>+landbouw!G8</f>
        <v>0</v>
      </c>
      <c r="I24" s="991">
        <f>+landbouw!H8</f>
        <v>0</v>
      </c>
      <c r="J24" s="991">
        <f>+landbouw!I8</f>
        <v>0</v>
      </c>
      <c r="K24" s="991">
        <f>+landbouw!J8</f>
        <v>28.368850363587086</v>
      </c>
      <c r="L24" s="991">
        <f>+landbouw!K8</f>
        <v>0</v>
      </c>
      <c r="M24" s="991">
        <f>+landbouw!L8</f>
        <v>0</v>
      </c>
      <c r="N24" s="991">
        <f>+landbouw!M8</f>
        <v>0</v>
      </c>
      <c r="O24" s="991">
        <f>+landbouw!N8</f>
        <v>0</v>
      </c>
      <c r="P24" s="991">
        <f>+landbouw!O8</f>
        <v>0</v>
      </c>
      <c r="Q24" s="992">
        <f>+landbouw!P8</f>
        <v>0</v>
      </c>
      <c r="R24" s="675">
        <f>SUM(C24:Q24)</f>
        <v>773.02930088220751</v>
      </c>
      <c r="S24" s="67"/>
    </row>
    <row r="25" spans="1:19" s="448" customFormat="1" ht="15" thickBot="1">
      <c r="A25" s="806" t="s">
        <v>849</v>
      </c>
      <c r="B25" s="994"/>
      <c r="C25" s="995">
        <f>IF(Onbekend_ele_kWh="---",0,Onbekend_ele_kWh)/1000+IF(REST_rest_ele_kWh="---",0,REST_rest_ele_kWh)/1000</f>
        <v>466.77300000000002</v>
      </c>
      <c r="D25" s="995"/>
      <c r="E25" s="995">
        <f>IF(onbekend_gas_kWh="---",0,onbekend_gas_kWh)/1000+IF(REST_rest_gas_kWh="---",0,REST_rest_gas_kWh)/1000</f>
        <v>852.90200000000004</v>
      </c>
      <c r="F25" s="995"/>
      <c r="G25" s="995"/>
      <c r="H25" s="995"/>
      <c r="I25" s="995"/>
      <c r="J25" s="995"/>
      <c r="K25" s="995"/>
      <c r="L25" s="995"/>
      <c r="M25" s="995"/>
      <c r="N25" s="995"/>
      <c r="O25" s="995"/>
      <c r="P25" s="995"/>
      <c r="Q25" s="996"/>
      <c r="R25" s="675">
        <f>SUM(C25:Q25)</f>
        <v>1319.6750000000002</v>
      </c>
      <c r="S25" s="67"/>
    </row>
    <row r="26" spans="1:19" s="448" customFormat="1" ht="15.75" thickBot="1">
      <c r="A26" s="680" t="s">
        <v>850</v>
      </c>
      <c r="B26" s="792"/>
      <c r="C26" s="787">
        <f>SUM(C24:C25)</f>
        <v>651.81400000000008</v>
      </c>
      <c r="D26" s="787">
        <f t="shared" ref="D26:R26" si="2">SUM(D24:D25)</f>
        <v>0</v>
      </c>
      <c r="E26" s="787">
        <f t="shared" si="2"/>
        <v>941.32325600000001</v>
      </c>
      <c r="F26" s="787">
        <f t="shared" si="2"/>
        <v>1.7139272442949598</v>
      </c>
      <c r="G26" s="787">
        <f t="shared" si="2"/>
        <v>469.48426727432548</v>
      </c>
      <c r="H26" s="787">
        <f t="shared" si="2"/>
        <v>0</v>
      </c>
      <c r="I26" s="787">
        <f t="shared" si="2"/>
        <v>0</v>
      </c>
      <c r="J26" s="787">
        <f t="shared" si="2"/>
        <v>0</v>
      </c>
      <c r="K26" s="787">
        <f t="shared" si="2"/>
        <v>28.368850363587086</v>
      </c>
      <c r="L26" s="787">
        <f t="shared" si="2"/>
        <v>0</v>
      </c>
      <c r="M26" s="787">
        <f t="shared" si="2"/>
        <v>0</v>
      </c>
      <c r="N26" s="787">
        <f t="shared" si="2"/>
        <v>0</v>
      </c>
      <c r="O26" s="787">
        <f t="shared" si="2"/>
        <v>0</v>
      </c>
      <c r="P26" s="787">
        <f t="shared" si="2"/>
        <v>0</v>
      </c>
      <c r="Q26" s="787">
        <f t="shared" si="2"/>
        <v>0</v>
      </c>
      <c r="R26" s="787">
        <f t="shared" si="2"/>
        <v>2092.7043008822075</v>
      </c>
      <c r="S26" s="67"/>
    </row>
    <row r="27" spans="1:19" s="448" customFormat="1" ht="17.25" thickTop="1" thickBot="1">
      <c r="A27" s="681" t="s">
        <v>115</v>
      </c>
      <c r="B27" s="780"/>
      <c r="C27" s="682">
        <f ca="1">C22+C16+C26</f>
        <v>30191.771896146169</v>
      </c>
      <c r="D27" s="682">
        <f t="shared" ref="D27:R27" ca="1" si="3">D22+D16+D26</f>
        <v>0</v>
      </c>
      <c r="E27" s="682">
        <f t="shared" ca="1" si="3"/>
        <v>21902.816228235501</v>
      </c>
      <c r="F27" s="682">
        <f t="shared" si="3"/>
        <v>3895.7860164680578</v>
      </c>
      <c r="G27" s="682">
        <f t="shared" ca="1" si="3"/>
        <v>29513.335333639778</v>
      </c>
      <c r="H27" s="682">
        <f t="shared" si="3"/>
        <v>61922.42757993791</v>
      </c>
      <c r="I27" s="682">
        <f t="shared" si="3"/>
        <v>11838.758964315595</v>
      </c>
      <c r="J27" s="682">
        <f t="shared" si="3"/>
        <v>0</v>
      </c>
      <c r="K27" s="682">
        <f t="shared" si="3"/>
        <v>39.566505320594409</v>
      </c>
      <c r="L27" s="682">
        <f t="shared" si="3"/>
        <v>0</v>
      </c>
      <c r="M27" s="682">
        <f t="shared" ca="1" si="3"/>
        <v>0</v>
      </c>
      <c r="N27" s="682">
        <f t="shared" si="3"/>
        <v>3950.2636301151779</v>
      </c>
      <c r="O27" s="682">
        <f t="shared" ca="1" si="3"/>
        <v>6071.1541607264044</v>
      </c>
      <c r="P27" s="682">
        <f t="shared" si="3"/>
        <v>136.01000000000002</v>
      </c>
      <c r="Q27" s="682">
        <f t="shared" si="3"/>
        <v>400.4</v>
      </c>
      <c r="R27" s="682">
        <f t="shared" ca="1" si="3"/>
        <v>169862.2903149052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648.968135611599</v>
      </c>
      <c r="D40" s="991">
        <f ca="1">tertiair!C20</f>
        <v>0</v>
      </c>
      <c r="E40" s="991">
        <f ca="1">tertiair!D20</f>
        <v>859.14014406000001</v>
      </c>
      <c r="F40" s="991">
        <f>tertiair!E20</f>
        <v>28.262356720534672</v>
      </c>
      <c r="G40" s="991">
        <f ca="1">tertiair!F20</f>
        <v>340.11768056580627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1876.48831695794</v>
      </c>
    </row>
    <row r="41" spans="1:18">
      <c r="A41" s="797" t="s">
        <v>224</v>
      </c>
      <c r="B41" s="804"/>
      <c r="C41" s="991">
        <f ca="1">huishoudens!B12</f>
        <v>1048.8670709360729</v>
      </c>
      <c r="D41" s="991">
        <f ca="1">huishoudens!C12</f>
        <v>0</v>
      </c>
      <c r="E41" s="991">
        <f>huishoudens!D12</f>
        <v>2922.0616668320004</v>
      </c>
      <c r="F41" s="991">
        <f>huishoudens!E12</f>
        <v>712.32085506314081</v>
      </c>
      <c r="G41" s="991">
        <f>huishoudens!F12</f>
        <v>6943.5088761432708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11626.758468974484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517.89112476691469</v>
      </c>
      <c r="D43" s="991">
        <f ca="1">industrie!C22</f>
        <v>0</v>
      </c>
      <c r="E43" s="991">
        <f>industrie!D22</f>
        <v>449.12429641199998</v>
      </c>
      <c r="F43" s="991">
        <f>industrie!E22</f>
        <v>99.219533982407256</v>
      </c>
      <c r="G43" s="991">
        <f>industrie!F22</f>
        <v>471.08167801049893</v>
      </c>
      <c r="H43" s="991">
        <f>industrie!G22</f>
        <v>0</v>
      </c>
      <c r="I43" s="991">
        <f>industrie!H22</f>
        <v>0</v>
      </c>
      <c r="J43" s="991">
        <f>industrie!I22</f>
        <v>0</v>
      </c>
      <c r="K43" s="991">
        <f>industrie!J22</f>
        <v>3.9639698547805917</v>
      </c>
      <c r="L43" s="991">
        <f>industrie!K22</f>
        <v>0</v>
      </c>
      <c r="M43" s="991">
        <f>industrie!L22</f>
        <v>0</v>
      </c>
      <c r="N43" s="991">
        <f>industrie!M22</f>
        <v>0</v>
      </c>
      <c r="O43" s="991">
        <f>industrie!N22</f>
        <v>0</v>
      </c>
      <c r="P43" s="991">
        <f>industrie!O22</f>
        <v>0</v>
      </c>
      <c r="Q43" s="749">
        <f>industrie!P22</f>
        <v>0</v>
      </c>
      <c r="R43" s="824">
        <f t="shared" ca="1" si="4"/>
        <v>1541.2806030266015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2215.7263313145868</v>
      </c>
      <c r="D46" s="707">
        <f t="shared" ref="D46:Q46" ca="1" si="5">SUM(D39:D45)</f>
        <v>0</v>
      </c>
      <c r="E46" s="707">
        <f t="shared" ca="1" si="5"/>
        <v>4230.3261073040003</v>
      </c>
      <c r="F46" s="707">
        <f t="shared" si="5"/>
        <v>839.80274576608269</v>
      </c>
      <c r="G46" s="707">
        <f t="shared" ca="1" si="5"/>
        <v>7754.7082347195756</v>
      </c>
      <c r="H46" s="707">
        <f t="shared" si="5"/>
        <v>0</v>
      </c>
      <c r="I46" s="707">
        <f t="shared" si="5"/>
        <v>0</v>
      </c>
      <c r="J46" s="707">
        <f t="shared" si="5"/>
        <v>0</v>
      </c>
      <c r="K46" s="707">
        <f t="shared" si="5"/>
        <v>3.9639698547805917</v>
      </c>
      <c r="L46" s="707">
        <f t="shared" si="5"/>
        <v>0</v>
      </c>
      <c r="M46" s="707">
        <f t="shared" ca="1" si="5"/>
        <v>0</v>
      </c>
      <c r="N46" s="707">
        <f t="shared" si="5"/>
        <v>0</v>
      </c>
      <c r="O46" s="707">
        <f t="shared" ca="1" si="5"/>
        <v>0</v>
      </c>
      <c r="P46" s="707">
        <f t="shared" si="5"/>
        <v>0</v>
      </c>
      <c r="Q46" s="707">
        <f t="shared" si="5"/>
        <v>0</v>
      </c>
      <c r="R46" s="707">
        <f ca="1">SUM(R39:R45)</f>
        <v>15044.527388959026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305.48326598917583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305.48326598917583</v>
      </c>
    </row>
    <row r="50" spans="1:18">
      <c r="A50" s="800" t="s">
        <v>306</v>
      </c>
      <c r="B50" s="810"/>
      <c r="C50" s="678">
        <f ca="1">transport!B18</f>
        <v>0.7527278201966443</v>
      </c>
      <c r="D50" s="678">
        <f>transport!C18</f>
        <v>0</v>
      </c>
      <c r="E50" s="678">
        <f>transport!D18</f>
        <v>3.8954730875707018</v>
      </c>
      <c r="F50" s="678">
        <f>transport!E18</f>
        <v>44.15161848771146</v>
      </c>
      <c r="G50" s="678">
        <f>transport!F18</f>
        <v>0</v>
      </c>
      <c r="H50" s="678">
        <f>transport!G18</f>
        <v>16227.804897854247</v>
      </c>
      <c r="I50" s="678">
        <f>transport!H18</f>
        <v>2947.8509821145831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19224.455699364309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0.7527278201966443</v>
      </c>
      <c r="D52" s="707">
        <f t="shared" ref="D52:Q52" ca="1" si="6">SUM(D48:D51)</f>
        <v>0</v>
      </c>
      <c r="E52" s="707">
        <f t="shared" si="6"/>
        <v>3.8954730875707018</v>
      </c>
      <c r="F52" s="707">
        <f t="shared" si="6"/>
        <v>44.15161848771146</v>
      </c>
      <c r="G52" s="707">
        <f t="shared" si="6"/>
        <v>0</v>
      </c>
      <c r="H52" s="707">
        <f t="shared" si="6"/>
        <v>16533.288163843423</v>
      </c>
      <c r="I52" s="707">
        <f t="shared" si="6"/>
        <v>2947.8509821145831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19529.938965353485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13.884227696711338</v>
      </c>
      <c r="D54" s="678">
        <f ca="1">+landbouw!C12</f>
        <v>0</v>
      </c>
      <c r="E54" s="678">
        <f>+landbouw!D12</f>
        <v>17.861093712000002</v>
      </c>
      <c r="F54" s="678">
        <f>+landbouw!E12</f>
        <v>0.38906148445495586</v>
      </c>
      <c r="G54" s="678">
        <f>+landbouw!F12</f>
        <v>125.35229936224491</v>
      </c>
      <c r="H54" s="678">
        <f>+landbouw!G12</f>
        <v>0</v>
      </c>
      <c r="I54" s="678">
        <f>+landbouw!H12</f>
        <v>0</v>
      </c>
      <c r="J54" s="678">
        <f>+landbouw!I12</f>
        <v>0</v>
      </c>
      <c r="K54" s="678">
        <f>+landbouw!J12</f>
        <v>10.042573028709828</v>
      </c>
      <c r="L54" s="678">
        <f>+landbouw!K12</f>
        <v>0</v>
      </c>
      <c r="M54" s="678">
        <f>+landbouw!L12</f>
        <v>0</v>
      </c>
      <c r="N54" s="678">
        <f>+landbouw!M12</f>
        <v>0</v>
      </c>
      <c r="O54" s="678">
        <f>+landbouw!N12</f>
        <v>0</v>
      </c>
      <c r="P54" s="678">
        <f>+landbouw!O12</f>
        <v>0</v>
      </c>
      <c r="Q54" s="679">
        <f>+landbouw!P12</f>
        <v>0</v>
      </c>
      <c r="R54" s="706">
        <f ca="1">SUM(C54:Q54)</f>
        <v>167.52925528412104</v>
      </c>
    </row>
    <row r="55" spans="1:18" ht="15" thickBot="1">
      <c r="A55" s="800" t="s">
        <v>849</v>
      </c>
      <c r="B55" s="810"/>
      <c r="C55" s="678">
        <f ca="1">C25*'EF ele_warmte'!B12</f>
        <v>35.02349541278442</v>
      </c>
      <c r="D55" s="678"/>
      <c r="E55" s="678">
        <f>E25*EF_CO2_aardgas</f>
        <v>172.28620400000003</v>
      </c>
      <c r="F55" s="678"/>
      <c r="G55" s="678"/>
      <c r="H55" s="678"/>
      <c r="I55" s="678"/>
      <c r="J55" s="678"/>
      <c r="K55" s="678"/>
      <c r="L55" s="678"/>
      <c r="M55" s="678"/>
      <c r="N55" s="678"/>
      <c r="O55" s="678"/>
      <c r="P55" s="678"/>
      <c r="Q55" s="679"/>
      <c r="R55" s="706">
        <f ca="1">SUM(C55:Q55)</f>
        <v>207.30969941278445</v>
      </c>
    </row>
    <row r="56" spans="1:18" ht="15.75" thickBot="1">
      <c r="A56" s="798" t="s">
        <v>850</v>
      </c>
      <c r="B56" s="811"/>
      <c r="C56" s="707">
        <f ca="1">SUM(C54:C55)</f>
        <v>48.907723109495763</v>
      </c>
      <c r="D56" s="707">
        <f t="shared" ref="D56:Q56" ca="1" si="7">SUM(D54:D55)</f>
        <v>0</v>
      </c>
      <c r="E56" s="707">
        <f t="shared" si="7"/>
        <v>190.14729771200004</v>
      </c>
      <c r="F56" s="707">
        <f t="shared" si="7"/>
        <v>0.38906148445495586</v>
      </c>
      <c r="G56" s="707">
        <f t="shared" si="7"/>
        <v>125.35229936224491</v>
      </c>
      <c r="H56" s="707">
        <f t="shared" si="7"/>
        <v>0</v>
      </c>
      <c r="I56" s="707">
        <f t="shared" si="7"/>
        <v>0</v>
      </c>
      <c r="J56" s="707">
        <f t="shared" si="7"/>
        <v>0</v>
      </c>
      <c r="K56" s="707">
        <f t="shared" si="7"/>
        <v>10.042573028709828</v>
      </c>
      <c r="L56" s="707">
        <f t="shared" si="7"/>
        <v>0</v>
      </c>
      <c r="M56" s="707">
        <f t="shared" si="7"/>
        <v>0</v>
      </c>
      <c r="N56" s="707">
        <f t="shared" si="7"/>
        <v>0</v>
      </c>
      <c r="O56" s="707">
        <f t="shared" si="7"/>
        <v>0</v>
      </c>
      <c r="P56" s="707">
        <f t="shared" si="7"/>
        <v>0</v>
      </c>
      <c r="Q56" s="708">
        <f t="shared" si="7"/>
        <v>0</v>
      </c>
      <c r="R56" s="709">
        <f ca="1">SUM(R54:R55)</f>
        <v>374.83895469690549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2265.3867822442789</v>
      </c>
      <c r="D61" s="715">
        <f t="shared" ref="D61:Q61" ca="1" si="8">D46+D52+D56</f>
        <v>0</v>
      </c>
      <c r="E61" s="715">
        <f t="shared" ca="1" si="8"/>
        <v>4424.3688781035708</v>
      </c>
      <c r="F61" s="715">
        <f t="shared" si="8"/>
        <v>884.34342573824915</v>
      </c>
      <c r="G61" s="715">
        <f t="shared" ca="1" si="8"/>
        <v>7880.0605340818202</v>
      </c>
      <c r="H61" s="715">
        <f t="shared" si="8"/>
        <v>16533.288163843423</v>
      </c>
      <c r="I61" s="715">
        <f t="shared" si="8"/>
        <v>2947.8509821145831</v>
      </c>
      <c r="J61" s="715">
        <f t="shared" si="8"/>
        <v>0</v>
      </c>
      <c r="K61" s="715">
        <f t="shared" si="8"/>
        <v>14.00654288349042</v>
      </c>
      <c r="L61" s="715">
        <f t="shared" si="8"/>
        <v>0</v>
      </c>
      <c r="M61" s="715">
        <f t="shared" ca="1" si="8"/>
        <v>0</v>
      </c>
      <c r="N61" s="715">
        <f t="shared" si="8"/>
        <v>0</v>
      </c>
      <c r="O61" s="715">
        <f t="shared" ca="1" si="8"/>
        <v>0</v>
      </c>
      <c r="P61" s="715">
        <f t="shared" si="8"/>
        <v>0</v>
      </c>
      <c r="Q61" s="715">
        <f t="shared" si="8"/>
        <v>0</v>
      </c>
      <c r="R61" s="715">
        <f ca="1">R46+R52+R56</f>
        <v>34949.305309009418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7.5033250451042408E-2</v>
      </c>
      <c r="D63" s="756">
        <f t="shared" ca="1" si="9"/>
        <v>0</v>
      </c>
      <c r="E63" s="1002">
        <f t="shared" ca="1" si="9"/>
        <v>0.20199999999999999</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17519.406279682578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2421.7466922813333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19941.152971963911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13978.696972756581</v>
      </c>
      <c r="C4" s="452">
        <f>huishoudens!C8</f>
        <v>0</v>
      </c>
      <c r="D4" s="452">
        <f>huishoudens!D8</f>
        <v>14465.651816000001</v>
      </c>
      <c r="E4" s="452">
        <f>huishoudens!E8</f>
        <v>3137.9773350799155</v>
      </c>
      <c r="F4" s="452">
        <f>huishoudens!F8</f>
        <v>26005.651221510376</v>
      </c>
      <c r="G4" s="452">
        <f>huishoudens!G8</f>
        <v>0</v>
      </c>
      <c r="H4" s="452">
        <f>huishoudens!H8</f>
        <v>0</v>
      </c>
      <c r="I4" s="452">
        <f>huishoudens!I8</f>
        <v>0</v>
      </c>
      <c r="J4" s="452">
        <f>huishoudens!J8</f>
        <v>0</v>
      </c>
      <c r="K4" s="452">
        <f>huishoudens!K8</f>
        <v>0</v>
      </c>
      <c r="L4" s="452">
        <f>huishoudens!L8</f>
        <v>0</v>
      </c>
      <c r="M4" s="452">
        <f>huishoudens!M8</f>
        <v>0</v>
      </c>
      <c r="N4" s="452">
        <f>huishoudens!N8</f>
        <v>5129.1680263188882</v>
      </c>
      <c r="O4" s="452">
        <f>huishoudens!O8</f>
        <v>136.01000000000002</v>
      </c>
      <c r="P4" s="453">
        <f>huishoudens!P8</f>
        <v>400.4</v>
      </c>
      <c r="Q4" s="454">
        <f>SUM(B4:P4)</f>
        <v>63253.555371665767</v>
      </c>
    </row>
    <row r="5" spans="1:17">
      <c r="A5" s="451" t="s">
        <v>155</v>
      </c>
      <c r="B5" s="452">
        <f ca="1">tertiair!B16</f>
        <v>7945.7559999999985</v>
      </c>
      <c r="C5" s="452">
        <f ca="1">tertiair!C16</f>
        <v>0</v>
      </c>
      <c r="D5" s="452">
        <f ca="1">tertiair!D16</f>
        <v>4253.16903</v>
      </c>
      <c r="E5" s="452">
        <f>tertiair!E16</f>
        <v>124.50377409927168</v>
      </c>
      <c r="F5" s="452">
        <f ca="1">tertiair!F16</f>
        <v>1273.8489908831696</v>
      </c>
      <c r="G5" s="452">
        <f>tertiair!G16</f>
        <v>0</v>
      </c>
      <c r="H5" s="452">
        <f>tertiair!H16</f>
        <v>0</v>
      </c>
      <c r="I5" s="452">
        <f>tertiair!I16</f>
        <v>0</v>
      </c>
      <c r="J5" s="452">
        <f>tertiair!J16</f>
        <v>0</v>
      </c>
      <c r="K5" s="452">
        <f>tertiair!K16</f>
        <v>0</v>
      </c>
      <c r="L5" s="452">
        <f ca="1">tertiair!L16</f>
        <v>0</v>
      </c>
      <c r="M5" s="452">
        <f>tertiair!M16</f>
        <v>0</v>
      </c>
      <c r="N5" s="452">
        <f ca="1">tertiair!N16</f>
        <v>724.10430355503649</v>
      </c>
      <c r="O5" s="452">
        <f>tertiair!O16</f>
        <v>0</v>
      </c>
      <c r="P5" s="453">
        <f>tertiair!P16</f>
        <v>0</v>
      </c>
      <c r="Q5" s="451">
        <f t="shared" ref="Q5:Q14" ca="1" si="0">SUM(B5:P5)</f>
        <v>14321.382098537477</v>
      </c>
    </row>
    <row r="6" spans="1:17">
      <c r="A6" s="451" t="s">
        <v>193</v>
      </c>
      <c r="B6" s="452">
        <f>'openbare verlichting'!B8</f>
        <v>703.31799999999998</v>
      </c>
      <c r="C6" s="452"/>
      <c r="D6" s="452"/>
      <c r="E6" s="452"/>
      <c r="F6" s="452"/>
      <c r="G6" s="452"/>
      <c r="H6" s="452"/>
      <c r="I6" s="452"/>
      <c r="J6" s="452"/>
      <c r="K6" s="452"/>
      <c r="L6" s="452"/>
      <c r="M6" s="452"/>
      <c r="N6" s="452"/>
      <c r="O6" s="452"/>
      <c r="P6" s="453"/>
      <c r="Q6" s="451">
        <f t="shared" si="0"/>
        <v>703.31799999999998</v>
      </c>
    </row>
    <row r="7" spans="1:17">
      <c r="A7" s="451" t="s">
        <v>111</v>
      </c>
      <c r="B7" s="452">
        <f>landbouw!B8</f>
        <v>185.041</v>
      </c>
      <c r="C7" s="452">
        <f>landbouw!C8</f>
        <v>0</v>
      </c>
      <c r="D7" s="452">
        <f>landbouw!D8</f>
        <v>88.421256000000014</v>
      </c>
      <c r="E7" s="452">
        <f>landbouw!E8</f>
        <v>1.7139272442949598</v>
      </c>
      <c r="F7" s="452">
        <f>landbouw!F8</f>
        <v>469.48426727432548</v>
      </c>
      <c r="G7" s="452">
        <f>landbouw!G8</f>
        <v>0</v>
      </c>
      <c r="H7" s="452">
        <f>landbouw!H8</f>
        <v>0</v>
      </c>
      <c r="I7" s="452">
        <f>landbouw!I8</f>
        <v>0</v>
      </c>
      <c r="J7" s="452">
        <f>landbouw!J8</f>
        <v>28.368850363587086</v>
      </c>
      <c r="K7" s="452">
        <f>landbouw!K8</f>
        <v>0</v>
      </c>
      <c r="L7" s="452">
        <f>landbouw!L8</f>
        <v>0</v>
      </c>
      <c r="M7" s="452">
        <f>landbouw!M8</f>
        <v>0</v>
      </c>
      <c r="N7" s="452">
        <f>landbouw!N8</f>
        <v>0</v>
      </c>
      <c r="O7" s="452">
        <f>landbouw!O8</f>
        <v>0</v>
      </c>
      <c r="P7" s="453">
        <f>landbouw!P8</f>
        <v>0</v>
      </c>
      <c r="Q7" s="451">
        <f t="shared" si="0"/>
        <v>773.02930088220751</v>
      </c>
    </row>
    <row r="8" spans="1:17">
      <c r="A8" s="451" t="s">
        <v>649</v>
      </c>
      <c r="B8" s="452">
        <f>industrie!B18</f>
        <v>6902.1550000000007</v>
      </c>
      <c r="C8" s="452">
        <f>industrie!C18</f>
        <v>0</v>
      </c>
      <c r="D8" s="452">
        <f>industrie!D18</f>
        <v>2223.3876059999998</v>
      </c>
      <c r="E8" s="452">
        <f>industrie!E18</f>
        <v>437.09045807227864</v>
      </c>
      <c r="F8" s="452">
        <f>industrie!F18</f>
        <v>1764.350853971906</v>
      </c>
      <c r="G8" s="452">
        <f>industrie!G18</f>
        <v>0</v>
      </c>
      <c r="H8" s="452">
        <f>industrie!H18</f>
        <v>0</v>
      </c>
      <c r="I8" s="452">
        <f>industrie!I18</f>
        <v>0</v>
      </c>
      <c r="J8" s="452">
        <f>industrie!J18</f>
        <v>11.197654957007321</v>
      </c>
      <c r="K8" s="452">
        <f>industrie!K18</f>
        <v>0</v>
      </c>
      <c r="L8" s="452">
        <f>industrie!L18</f>
        <v>0</v>
      </c>
      <c r="M8" s="452">
        <f>industrie!M18</f>
        <v>0</v>
      </c>
      <c r="N8" s="452">
        <f>industrie!N18</f>
        <v>217.88183085248008</v>
      </c>
      <c r="O8" s="452">
        <f>industrie!O18</f>
        <v>0</v>
      </c>
      <c r="P8" s="453">
        <f>industrie!P18</f>
        <v>0</v>
      </c>
      <c r="Q8" s="451">
        <f t="shared" si="0"/>
        <v>11556.063403853674</v>
      </c>
    </row>
    <row r="9" spans="1:17" s="457" customFormat="1">
      <c r="A9" s="455" t="s">
        <v>570</v>
      </c>
      <c r="B9" s="456">
        <f>transport!B14</f>
        <v>10.031923389588234</v>
      </c>
      <c r="C9" s="456">
        <f>transport!C14</f>
        <v>0</v>
      </c>
      <c r="D9" s="456">
        <f>transport!D14</f>
        <v>19.284520235498523</v>
      </c>
      <c r="E9" s="456">
        <f>transport!E14</f>
        <v>194.50052197229718</v>
      </c>
      <c r="F9" s="456">
        <f>transport!F14</f>
        <v>0</v>
      </c>
      <c r="G9" s="456">
        <f>transport!G14</f>
        <v>60778.295497581443</v>
      </c>
      <c r="H9" s="456">
        <f>transport!H14</f>
        <v>11838.758964315595</v>
      </c>
      <c r="I9" s="456">
        <f>transport!I14</f>
        <v>0</v>
      </c>
      <c r="J9" s="456">
        <f>transport!J14</f>
        <v>0</v>
      </c>
      <c r="K9" s="456">
        <f>transport!K14</f>
        <v>0</v>
      </c>
      <c r="L9" s="456">
        <f>transport!L14</f>
        <v>0</v>
      </c>
      <c r="M9" s="456">
        <f>transport!M14</f>
        <v>3884.8685226915277</v>
      </c>
      <c r="N9" s="456">
        <f>transport!N14</f>
        <v>0</v>
      </c>
      <c r="O9" s="456">
        <f>transport!O14</f>
        <v>0</v>
      </c>
      <c r="P9" s="456">
        <f>transport!P14</f>
        <v>0</v>
      </c>
      <c r="Q9" s="455">
        <f>SUM(B9:P9)</f>
        <v>76725.739950185947</v>
      </c>
    </row>
    <row r="10" spans="1:17">
      <c r="A10" s="451" t="s">
        <v>560</v>
      </c>
      <c r="B10" s="452">
        <f>transport!B54</f>
        <v>0</v>
      </c>
      <c r="C10" s="452">
        <f>transport!C54</f>
        <v>0</v>
      </c>
      <c r="D10" s="452">
        <f>transport!D54</f>
        <v>0</v>
      </c>
      <c r="E10" s="452">
        <f>transport!E54</f>
        <v>0</v>
      </c>
      <c r="F10" s="452">
        <f>transport!F54</f>
        <v>0</v>
      </c>
      <c r="G10" s="452">
        <f>transport!G54</f>
        <v>1144.1320823564638</v>
      </c>
      <c r="H10" s="452">
        <f>transport!H54</f>
        <v>0</v>
      </c>
      <c r="I10" s="452">
        <f>transport!I54</f>
        <v>0</v>
      </c>
      <c r="J10" s="452">
        <f>transport!J54</f>
        <v>0</v>
      </c>
      <c r="K10" s="452">
        <f>transport!K54</f>
        <v>0</v>
      </c>
      <c r="L10" s="452">
        <f>transport!L54</f>
        <v>0</v>
      </c>
      <c r="M10" s="452">
        <f>transport!M54</f>
        <v>65.395107423649975</v>
      </c>
      <c r="N10" s="452">
        <f>transport!N54</f>
        <v>0</v>
      </c>
      <c r="O10" s="452">
        <f>transport!O54</f>
        <v>0</v>
      </c>
      <c r="P10" s="453">
        <f>transport!P54</f>
        <v>0</v>
      </c>
      <c r="Q10" s="451">
        <f t="shared" si="0"/>
        <v>1209.5271897801138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466.77300000000002</v>
      </c>
      <c r="C14" s="459"/>
      <c r="D14" s="459">
        <f>'SEAP template'!E25</f>
        <v>852.90200000000004</v>
      </c>
      <c r="E14" s="459"/>
      <c r="F14" s="459"/>
      <c r="G14" s="459"/>
      <c r="H14" s="459"/>
      <c r="I14" s="459"/>
      <c r="J14" s="459"/>
      <c r="K14" s="459"/>
      <c r="L14" s="459"/>
      <c r="M14" s="459"/>
      <c r="N14" s="459"/>
      <c r="O14" s="459"/>
      <c r="P14" s="460"/>
      <c r="Q14" s="451">
        <f t="shared" si="0"/>
        <v>1319.6750000000002</v>
      </c>
    </row>
    <row r="15" spans="1:17" s="461" customFormat="1">
      <c r="A15" s="1017" t="s">
        <v>564</v>
      </c>
      <c r="B15" s="957">
        <f ca="1">SUM(B4:B14)</f>
        <v>30191.771896146169</v>
      </c>
      <c r="C15" s="957">
        <f t="shared" ref="C15:Q15" ca="1" si="1">SUM(C4:C14)</f>
        <v>0</v>
      </c>
      <c r="D15" s="957">
        <f t="shared" ca="1" si="1"/>
        <v>21902.816228235504</v>
      </c>
      <c r="E15" s="957">
        <f t="shared" si="1"/>
        <v>3895.7860164680578</v>
      </c>
      <c r="F15" s="957">
        <f t="shared" ca="1" si="1"/>
        <v>29513.335333639778</v>
      </c>
      <c r="G15" s="957">
        <f t="shared" si="1"/>
        <v>61922.42757993791</v>
      </c>
      <c r="H15" s="957">
        <f t="shared" si="1"/>
        <v>11838.758964315595</v>
      </c>
      <c r="I15" s="957">
        <f t="shared" si="1"/>
        <v>0</v>
      </c>
      <c r="J15" s="957">
        <f t="shared" si="1"/>
        <v>39.566505320594409</v>
      </c>
      <c r="K15" s="957">
        <f t="shared" si="1"/>
        <v>0</v>
      </c>
      <c r="L15" s="957">
        <f t="shared" ca="1" si="1"/>
        <v>0</v>
      </c>
      <c r="M15" s="957">
        <f t="shared" si="1"/>
        <v>3950.2636301151779</v>
      </c>
      <c r="N15" s="957">
        <f t="shared" ca="1" si="1"/>
        <v>6071.1541607264044</v>
      </c>
      <c r="O15" s="957">
        <f t="shared" si="1"/>
        <v>136.01000000000002</v>
      </c>
      <c r="P15" s="957">
        <f t="shared" si="1"/>
        <v>400.4</v>
      </c>
      <c r="Q15" s="957">
        <f t="shared" ca="1" si="1"/>
        <v>169862.29031490514</v>
      </c>
    </row>
    <row r="17" spans="1:17">
      <c r="A17" s="462" t="s">
        <v>565</v>
      </c>
      <c r="B17" s="761">
        <f ca="1">huishoudens!B10</f>
        <v>7.5033250451042408E-2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1048.8670709360729</v>
      </c>
      <c r="C22" s="452">
        <f t="shared" ref="C22:C32" ca="1" si="3">C4*$C$17</f>
        <v>0</v>
      </c>
      <c r="D22" s="452">
        <f t="shared" ref="D22:D32" si="4">D4*$D$17</f>
        <v>2922.0616668320004</v>
      </c>
      <c r="E22" s="452">
        <f t="shared" ref="E22:E32" si="5">E4*$E$17</f>
        <v>712.32085506314081</v>
      </c>
      <c r="F22" s="452">
        <f t="shared" ref="F22:F32" si="6">F4*$F$17</f>
        <v>6943.5088761432708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11626.758468974484</v>
      </c>
    </row>
    <row r="23" spans="1:17">
      <c r="A23" s="451" t="s">
        <v>155</v>
      </c>
      <c r="B23" s="452">
        <f t="shared" ca="1" si="2"/>
        <v>596.1958999708728</v>
      </c>
      <c r="C23" s="452">
        <f t="shared" ca="1" si="3"/>
        <v>0</v>
      </c>
      <c r="D23" s="452">
        <f t="shared" ca="1" si="4"/>
        <v>859.14014406000001</v>
      </c>
      <c r="E23" s="452">
        <f t="shared" si="5"/>
        <v>28.262356720534672</v>
      </c>
      <c r="F23" s="452">
        <f t="shared" ca="1" si="6"/>
        <v>340.11768056580627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1823.7160813172138</v>
      </c>
    </row>
    <row r="24" spans="1:17">
      <c r="A24" s="451" t="s">
        <v>193</v>
      </c>
      <c r="B24" s="452">
        <f t="shared" ca="1" si="2"/>
        <v>52.772235640726244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52.772235640726244</v>
      </c>
    </row>
    <row r="25" spans="1:17">
      <c r="A25" s="451" t="s">
        <v>111</v>
      </c>
      <c r="B25" s="452">
        <f t="shared" ca="1" si="2"/>
        <v>13.884227696711338</v>
      </c>
      <c r="C25" s="452">
        <f t="shared" ca="1" si="3"/>
        <v>0</v>
      </c>
      <c r="D25" s="452">
        <f t="shared" si="4"/>
        <v>17.861093712000002</v>
      </c>
      <c r="E25" s="452">
        <f t="shared" si="5"/>
        <v>0.38906148445495586</v>
      </c>
      <c r="F25" s="452">
        <f t="shared" si="6"/>
        <v>125.35229936224491</v>
      </c>
      <c r="G25" s="452">
        <f t="shared" si="7"/>
        <v>0</v>
      </c>
      <c r="H25" s="452">
        <f t="shared" si="8"/>
        <v>0</v>
      </c>
      <c r="I25" s="452">
        <f t="shared" si="9"/>
        <v>0</v>
      </c>
      <c r="J25" s="452">
        <f t="shared" si="10"/>
        <v>10.042573028709828</v>
      </c>
      <c r="K25" s="452">
        <f t="shared" si="11"/>
        <v>0</v>
      </c>
      <c r="L25" s="452">
        <f t="shared" si="12"/>
        <v>0</v>
      </c>
      <c r="M25" s="452">
        <f t="shared" si="13"/>
        <v>0</v>
      </c>
      <c r="N25" s="452">
        <f t="shared" si="14"/>
        <v>0</v>
      </c>
      <c r="O25" s="452">
        <f t="shared" si="15"/>
        <v>0</v>
      </c>
      <c r="P25" s="453">
        <f t="shared" si="16"/>
        <v>0</v>
      </c>
      <c r="Q25" s="451">
        <f t="shared" ca="1" si="17"/>
        <v>167.52925528412104</v>
      </c>
    </row>
    <row r="26" spans="1:17">
      <c r="A26" s="451" t="s">
        <v>649</v>
      </c>
      <c r="B26" s="452">
        <f t="shared" ca="1" si="2"/>
        <v>517.89112476691469</v>
      </c>
      <c r="C26" s="452">
        <f t="shared" ca="1" si="3"/>
        <v>0</v>
      </c>
      <c r="D26" s="452">
        <f t="shared" si="4"/>
        <v>449.12429641199998</v>
      </c>
      <c r="E26" s="452">
        <f t="shared" si="5"/>
        <v>99.219533982407256</v>
      </c>
      <c r="F26" s="452">
        <f t="shared" si="6"/>
        <v>471.08167801049893</v>
      </c>
      <c r="G26" s="452">
        <f t="shared" si="7"/>
        <v>0</v>
      </c>
      <c r="H26" s="452">
        <f t="shared" si="8"/>
        <v>0</v>
      </c>
      <c r="I26" s="452">
        <f t="shared" si="9"/>
        <v>0</v>
      </c>
      <c r="J26" s="452">
        <f t="shared" si="10"/>
        <v>3.9639698547805917</v>
      </c>
      <c r="K26" s="452">
        <f t="shared" si="11"/>
        <v>0</v>
      </c>
      <c r="L26" s="452">
        <f t="shared" si="12"/>
        <v>0</v>
      </c>
      <c r="M26" s="452">
        <f t="shared" si="13"/>
        <v>0</v>
      </c>
      <c r="N26" s="452">
        <f t="shared" si="14"/>
        <v>0</v>
      </c>
      <c r="O26" s="452">
        <f t="shared" si="15"/>
        <v>0</v>
      </c>
      <c r="P26" s="453">
        <f t="shared" si="16"/>
        <v>0</v>
      </c>
      <c r="Q26" s="451">
        <f t="shared" ca="1" si="17"/>
        <v>1541.2806030266015</v>
      </c>
    </row>
    <row r="27" spans="1:17" s="457" customFormat="1">
      <c r="A27" s="455" t="s">
        <v>570</v>
      </c>
      <c r="B27" s="755">
        <f t="shared" ca="1" si="2"/>
        <v>0.7527278201966443</v>
      </c>
      <c r="C27" s="456">
        <f t="shared" ca="1" si="3"/>
        <v>0</v>
      </c>
      <c r="D27" s="456">
        <f t="shared" si="4"/>
        <v>3.8954730875707018</v>
      </c>
      <c r="E27" s="456">
        <f t="shared" si="5"/>
        <v>44.15161848771146</v>
      </c>
      <c r="F27" s="456">
        <f t="shared" si="6"/>
        <v>0</v>
      </c>
      <c r="G27" s="456">
        <f t="shared" si="7"/>
        <v>16227.804897854247</v>
      </c>
      <c r="H27" s="456">
        <f t="shared" si="8"/>
        <v>2947.8509821145831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19224.455699364309</v>
      </c>
    </row>
    <row r="28" spans="1:17">
      <c r="A28" s="451" t="s">
        <v>560</v>
      </c>
      <c r="B28" s="452">
        <f t="shared" ca="1" si="2"/>
        <v>0</v>
      </c>
      <c r="C28" s="452">
        <f t="shared" ca="1" si="3"/>
        <v>0</v>
      </c>
      <c r="D28" s="452">
        <f t="shared" si="4"/>
        <v>0</v>
      </c>
      <c r="E28" s="452">
        <f t="shared" si="5"/>
        <v>0</v>
      </c>
      <c r="F28" s="452">
        <f t="shared" si="6"/>
        <v>0</v>
      </c>
      <c r="G28" s="452">
        <f t="shared" si="7"/>
        <v>305.48326598917583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305.48326598917583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35.02349541278442</v>
      </c>
      <c r="C32" s="452">
        <f t="shared" ca="1" si="3"/>
        <v>0</v>
      </c>
      <c r="D32" s="452">
        <f t="shared" si="4"/>
        <v>172.28620400000003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207.30969941278445</v>
      </c>
    </row>
    <row r="33" spans="1:17" s="461" customFormat="1">
      <c r="A33" s="1017" t="s">
        <v>564</v>
      </c>
      <c r="B33" s="957">
        <f ca="1">SUM(B22:B32)</f>
        <v>2265.3867822442789</v>
      </c>
      <c r="C33" s="957">
        <f t="shared" ref="C33:Q33" ca="1" si="18">SUM(C22:C32)</f>
        <v>0</v>
      </c>
      <c r="D33" s="957">
        <f t="shared" ca="1" si="18"/>
        <v>4424.3688781035708</v>
      </c>
      <c r="E33" s="957">
        <f t="shared" si="18"/>
        <v>884.34342573824915</v>
      </c>
      <c r="F33" s="957">
        <f t="shared" ca="1" si="18"/>
        <v>7880.0605340818202</v>
      </c>
      <c r="G33" s="957">
        <f t="shared" si="18"/>
        <v>16533.288163843423</v>
      </c>
      <c r="H33" s="957">
        <f t="shared" si="18"/>
        <v>2947.8509821145831</v>
      </c>
      <c r="I33" s="957">
        <f t="shared" si="18"/>
        <v>0</v>
      </c>
      <c r="J33" s="957">
        <f t="shared" si="18"/>
        <v>14.00654288349042</v>
      </c>
      <c r="K33" s="957">
        <f t="shared" si="18"/>
        <v>0</v>
      </c>
      <c r="L33" s="957">
        <f t="shared" ca="1" si="18"/>
        <v>0</v>
      </c>
      <c r="M33" s="957">
        <f t="shared" si="18"/>
        <v>0</v>
      </c>
      <c r="N33" s="957">
        <f t="shared" ca="1" si="18"/>
        <v>0</v>
      </c>
      <c r="O33" s="957">
        <f t="shared" si="18"/>
        <v>0</v>
      </c>
      <c r="P33" s="957">
        <f t="shared" si="18"/>
        <v>0</v>
      </c>
      <c r="Q33" s="957">
        <f t="shared" ca="1" si="18"/>
        <v>34949.305309009418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17519.406279682578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2421.7466922813333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19941.152971963911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7.5033250451042408E-2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7.5033250451042408E-2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7.5033250451042408E-2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7.5033250451042408E-2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2896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327</v>
      </c>
      <c r="C14" s="330"/>
      <c r="D14" s="330"/>
      <c r="E14" s="330"/>
      <c r="F14" s="330"/>
    </row>
    <row r="15" spans="1:6">
      <c r="A15" s="1305" t="s">
        <v>183</v>
      </c>
      <c r="B15" s="1306">
        <v>2</v>
      </c>
      <c r="C15" s="330"/>
      <c r="D15" s="330"/>
      <c r="E15" s="330"/>
      <c r="F15" s="330"/>
    </row>
    <row r="16" spans="1:6">
      <c r="A16" s="1305" t="s">
        <v>6</v>
      </c>
      <c r="B16" s="1306">
        <v>32</v>
      </c>
      <c r="C16" s="330"/>
      <c r="D16" s="330"/>
      <c r="E16" s="330"/>
      <c r="F16" s="330"/>
    </row>
    <row r="17" spans="1:6">
      <c r="A17" s="1305" t="s">
        <v>7</v>
      </c>
      <c r="B17" s="1306">
        <v>72</v>
      </c>
      <c r="C17" s="330"/>
      <c r="D17" s="330"/>
      <c r="E17" s="330"/>
      <c r="F17" s="330"/>
    </row>
    <row r="18" spans="1:6">
      <c r="A18" s="1305" t="s">
        <v>8</v>
      </c>
      <c r="B18" s="1306">
        <v>75</v>
      </c>
      <c r="C18" s="330"/>
      <c r="D18" s="330"/>
      <c r="E18" s="330"/>
      <c r="F18" s="330"/>
    </row>
    <row r="19" spans="1:6">
      <c r="A19" s="1305" t="s">
        <v>9</v>
      </c>
      <c r="B19" s="1306">
        <v>71</v>
      </c>
      <c r="C19" s="330"/>
      <c r="D19" s="330"/>
      <c r="E19" s="330"/>
      <c r="F19" s="330"/>
    </row>
    <row r="20" spans="1:6">
      <c r="A20" s="1305" t="s">
        <v>10</v>
      </c>
      <c r="B20" s="1306">
        <v>102</v>
      </c>
      <c r="C20" s="330"/>
      <c r="D20" s="330"/>
      <c r="E20" s="330"/>
      <c r="F20" s="330"/>
    </row>
    <row r="21" spans="1:6">
      <c r="A21" s="1305" t="s">
        <v>11</v>
      </c>
      <c r="B21" s="1306">
        <v>0</v>
      </c>
      <c r="C21" s="330"/>
      <c r="D21" s="330"/>
      <c r="E21" s="330"/>
      <c r="F21" s="330"/>
    </row>
    <row r="22" spans="1:6">
      <c r="A22" s="1305" t="s">
        <v>12</v>
      </c>
      <c r="B22" s="1306">
        <v>5</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114</v>
      </c>
      <c r="C26" s="330"/>
      <c r="D26" s="330"/>
      <c r="E26" s="330"/>
      <c r="F26" s="330"/>
    </row>
    <row r="27" spans="1:6">
      <c r="A27" s="1305" t="s">
        <v>17</v>
      </c>
      <c r="B27" s="1306">
        <v>0</v>
      </c>
      <c r="C27" s="330"/>
      <c r="D27" s="330"/>
      <c r="E27" s="330"/>
      <c r="F27" s="330"/>
    </row>
    <row r="28" spans="1:6" s="43" customFormat="1">
      <c r="A28" s="1307" t="s">
        <v>18</v>
      </c>
      <c r="B28" s="1308">
        <v>73065</v>
      </c>
      <c r="C28" s="336"/>
      <c r="D28" s="336"/>
      <c r="E28" s="336"/>
      <c r="F28" s="336"/>
    </row>
    <row r="29" spans="1:6">
      <c r="A29" s="1307" t="s">
        <v>909</v>
      </c>
      <c r="B29" s="1308">
        <v>144</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18048</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1053</v>
      </c>
      <c r="D39" s="1306">
        <v>16037308</v>
      </c>
      <c r="E39" s="1306">
        <v>2953</v>
      </c>
      <c r="F39" s="1306">
        <v>11813812</v>
      </c>
    </row>
    <row r="40" spans="1:6">
      <c r="A40" s="1305" t="s">
        <v>29</v>
      </c>
      <c r="B40" s="1305" t="s">
        <v>28</v>
      </c>
      <c r="C40" s="1306">
        <v>0</v>
      </c>
      <c r="D40" s="1306">
        <v>0</v>
      </c>
      <c r="E40" s="1306">
        <v>0</v>
      </c>
      <c r="F40" s="1306">
        <v>0</v>
      </c>
    </row>
    <row r="41" spans="1:6">
      <c r="A41" s="1305" t="s">
        <v>31</v>
      </c>
      <c r="B41" s="1305" t="s">
        <v>32</v>
      </c>
      <c r="C41" s="1306">
        <v>10</v>
      </c>
      <c r="D41" s="1306">
        <v>231582</v>
      </c>
      <c r="E41" s="1306">
        <v>52</v>
      </c>
      <c r="F41" s="1306">
        <v>1495417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101338</v>
      </c>
      <c r="E44" s="1306">
        <v>6</v>
      </c>
      <c r="F44" s="1306">
        <v>379255</v>
      </c>
    </row>
    <row r="45" spans="1:6">
      <c r="A45" s="1305" t="s">
        <v>31</v>
      </c>
      <c r="B45" s="1305" t="s">
        <v>36</v>
      </c>
      <c r="C45" s="1306">
        <v>0</v>
      </c>
      <c r="D45" s="1306">
        <v>0</v>
      </c>
      <c r="E45" s="1306">
        <v>4</v>
      </c>
      <c r="F45" s="1306">
        <v>4860760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2132033</v>
      </c>
      <c r="E48" s="1306">
        <v>0</v>
      </c>
      <c r="F48" s="1306">
        <v>0</v>
      </c>
    </row>
    <row r="49" spans="1:6">
      <c r="A49" s="1305" t="s">
        <v>31</v>
      </c>
      <c r="B49" s="1305" t="s">
        <v>39</v>
      </c>
      <c r="C49" s="1306">
        <v>0</v>
      </c>
      <c r="D49" s="1306">
        <v>0</v>
      </c>
      <c r="E49" s="1306">
        <v>0</v>
      </c>
      <c r="F49" s="1306">
        <v>0</v>
      </c>
    </row>
    <row r="50" spans="1:6">
      <c r="A50" s="1305" t="s">
        <v>31</v>
      </c>
      <c r="B50" s="1305" t="s">
        <v>40</v>
      </c>
      <c r="C50" s="1306">
        <v>0</v>
      </c>
      <c r="D50" s="1306">
        <v>0</v>
      </c>
      <c r="E50" s="1306">
        <v>6</v>
      </c>
      <c r="F50" s="1306">
        <v>166723</v>
      </c>
    </row>
    <row r="51" spans="1:6">
      <c r="A51" s="1305" t="s">
        <v>41</v>
      </c>
      <c r="B51" s="1305" t="s">
        <v>42</v>
      </c>
      <c r="C51" s="1306">
        <v>0</v>
      </c>
      <c r="D51" s="1306">
        <v>0</v>
      </c>
      <c r="E51" s="1306">
        <v>9</v>
      </c>
      <c r="F51" s="1306">
        <v>185041</v>
      </c>
    </row>
    <row r="52" spans="1:6">
      <c r="A52" s="1305" t="s">
        <v>41</v>
      </c>
      <c r="B52" s="1305" t="s">
        <v>28</v>
      </c>
      <c r="C52" s="1306">
        <v>2</v>
      </c>
      <c r="D52" s="1306">
        <v>98028</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34</v>
      </c>
      <c r="F54" s="1306">
        <v>703318</v>
      </c>
    </row>
    <row r="55" spans="1:6">
      <c r="A55" s="1305" t="s">
        <v>45</v>
      </c>
      <c r="B55" s="1305" t="s">
        <v>28</v>
      </c>
      <c r="C55" s="1306">
        <v>0</v>
      </c>
      <c r="D55" s="1306">
        <v>0</v>
      </c>
      <c r="E55" s="1306">
        <v>0</v>
      </c>
      <c r="F55" s="1306">
        <v>0</v>
      </c>
    </row>
    <row r="56" spans="1:6">
      <c r="A56" s="1305" t="s">
        <v>47</v>
      </c>
      <c r="B56" s="1305" t="s">
        <v>28</v>
      </c>
      <c r="C56" s="1306">
        <v>27</v>
      </c>
      <c r="D56" s="1306">
        <v>852902</v>
      </c>
      <c r="E56" s="1306">
        <v>102</v>
      </c>
      <c r="F56" s="1306">
        <v>466773</v>
      </c>
    </row>
    <row r="57" spans="1:6">
      <c r="A57" s="1305" t="s">
        <v>48</v>
      </c>
      <c r="B57" s="1305" t="s">
        <v>49</v>
      </c>
      <c r="C57" s="1306">
        <v>12</v>
      </c>
      <c r="D57" s="1306">
        <v>400981</v>
      </c>
      <c r="E57" s="1306">
        <v>24</v>
      </c>
      <c r="F57" s="1306">
        <v>966195</v>
      </c>
    </row>
    <row r="58" spans="1:6">
      <c r="A58" s="1305" t="s">
        <v>48</v>
      </c>
      <c r="B58" s="1305" t="s">
        <v>50</v>
      </c>
      <c r="C58" s="1306">
        <v>10</v>
      </c>
      <c r="D58" s="1306">
        <v>693299</v>
      </c>
      <c r="E58" s="1306">
        <v>17</v>
      </c>
      <c r="F58" s="1306">
        <v>283803</v>
      </c>
    </row>
    <row r="59" spans="1:6">
      <c r="A59" s="1305" t="s">
        <v>48</v>
      </c>
      <c r="B59" s="1305" t="s">
        <v>51</v>
      </c>
      <c r="C59" s="1306">
        <v>14</v>
      </c>
      <c r="D59" s="1306">
        <v>281203</v>
      </c>
      <c r="E59" s="1306">
        <v>66</v>
      </c>
      <c r="F59" s="1306">
        <v>1878248</v>
      </c>
    </row>
    <row r="60" spans="1:6">
      <c r="A60" s="1305" t="s">
        <v>48</v>
      </c>
      <c r="B60" s="1305" t="s">
        <v>52</v>
      </c>
      <c r="C60" s="1306">
        <v>16</v>
      </c>
      <c r="D60" s="1306">
        <v>2295081</v>
      </c>
      <c r="E60" s="1306">
        <v>39</v>
      </c>
      <c r="F60" s="1306">
        <v>2225355</v>
      </c>
    </row>
    <row r="61" spans="1:6">
      <c r="A61" s="1305" t="s">
        <v>48</v>
      </c>
      <c r="B61" s="1305" t="s">
        <v>53</v>
      </c>
      <c r="C61" s="1306">
        <v>32</v>
      </c>
      <c r="D61" s="1306">
        <v>817321</v>
      </c>
      <c r="E61" s="1306">
        <v>119</v>
      </c>
      <c r="F61" s="1306">
        <v>2532615</v>
      </c>
    </row>
    <row r="62" spans="1:6">
      <c r="A62" s="1305" t="s">
        <v>48</v>
      </c>
      <c r="B62" s="1305" t="s">
        <v>54</v>
      </c>
      <c r="C62" s="1306">
        <v>3</v>
      </c>
      <c r="D62" s="1306">
        <v>227380</v>
      </c>
      <c r="E62" s="1306">
        <v>5</v>
      </c>
      <c r="F62" s="1306">
        <v>59540</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8220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55727677</v>
      </c>
      <c r="E73" s="450"/>
      <c r="F73" s="330"/>
    </row>
    <row r="74" spans="1:6">
      <c r="A74" s="1305" t="s">
        <v>63</v>
      </c>
      <c r="B74" s="1305" t="s">
        <v>710</v>
      </c>
      <c r="C74" s="1319" t="s">
        <v>712</v>
      </c>
      <c r="D74" s="1320">
        <v>2438167.8097251994</v>
      </c>
      <c r="E74" s="450"/>
      <c r="F74" s="330"/>
    </row>
    <row r="75" spans="1:6">
      <c r="A75" s="1305" t="s">
        <v>64</v>
      </c>
      <c r="B75" s="1305" t="s">
        <v>709</v>
      </c>
      <c r="C75" s="1319" t="s">
        <v>713</v>
      </c>
      <c r="D75" s="1320">
        <v>12284946</v>
      </c>
      <c r="E75" s="450"/>
      <c r="F75" s="330"/>
    </row>
    <row r="76" spans="1:6">
      <c r="A76" s="1305" t="s">
        <v>64</v>
      </c>
      <c r="B76" s="1305" t="s">
        <v>710</v>
      </c>
      <c r="C76" s="1319" t="s">
        <v>714</v>
      </c>
      <c r="D76" s="1320">
        <v>17743.3</v>
      </c>
      <c r="E76" s="450"/>
      <c r="F76" s="330"/>
    </row>
    <row r="77" spans="1:6">
      <c r="A77" s="1305" t="s">
        <v>65</v>
      </c>
      <c r="B77" s="1305" t="s">
        <v>709</v>
      </c>
      <c r="C77" s="1319" t="s">
        <v>715</v>
      </c>
      <c r="D77" s="1320">
        <v>20654158</v>
      </c>
      <c r="E77" s="450"/>
      <c r="F77" s="330"/>
    </row>
    <row r="78" spans="1:6">
      <c r="A78" s="1300" t="s">
        <v>65</v>
      </c>
      <c r="B78" s="1300" t="s">
        <v>710</v>
      </c>
      <c r="C78" s="1300" t="s">
        <v>716</v>
      </c>
      <c r="D78" s="1321">
        <v>4188842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324758.38054960169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17519.406279682578</v>
      </c>
      <c r="C90" s="330"/>
      <c r="D90" s="330"/>
      <c r="E90" s="330"/>
      <c r="F90" s="330"/>
    </row>
    <row r="91" spans="1:6">
      <c r="A91" s="1305" t="s">
        <v>67</v>
      </c>
      <c r="B91" s="1306">
        <v>2164.8849727565816</v>
      </c>
      <c r="C91" s="330"/>
      <c r="D91" s="330"/>
      <c r="E91" s="330"/>
      <c r="F91" s="330"/>
    </row>
    <row r="92" spans="1:6">
      <c r="A92" s="1300" t="s">
        <v>68</v>
      </c>
      <c r="B92" s="1301">
        <v>256.86171952475144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187</v>
      </c>
      <c r="C97" s="330"/>
      <c r="D97" s="330"/>
      <c r="E97" s="330"/>
      <c r="F97" s="330"/>
    </row>
    <row r="98" spans="1:6">
      <c r="A98" s="1305" t="s">
        <v>71</v>
      </c>
      <c r="B98" s="1306">
        <v>0</v>
      </c>
      <c r="C98" s="330"/>
      <c r="D98" s="330"/>
      <c r="E98" s="330"/>
      <c r="F98" s="330"/>
    </row>
    <row r="99" spans="1:6">
      <c r="A99" s="1305" t="s">
        <v>72</v>
      </c>
      <c r="B99" s="1306">
        <v>15</v>
      </c>
      <c r="C99" s="330"/>
      <c r="D99" s="330"/>
      <c r="E99" s="330"/>
      <c r="F99" s="330"/>
    </row>
    <row r="100" spans="1:6">
      <c r="A100" s="1305" t="s">
        <v>73</v>
      </c>
      <c r="B100" s="1306">
        <v>203</v>
      </c>
      <c r="C100" s="330"/>
      <c r="D100" s="330"/>
      <c r="E100" s="330"/>
      <c r="F100" s="330"/>
    </row>
    <row r="101" spans="1:6">
      <c r="A101" s="1305" t="s">
        <v>74</v>
      </c>
      <c r="B101" s="1306">
        <v>34</v>
      </c>
      <c r="C101" s="330"/>
      <c r="D101" s="330"/>
      <c r="E101" s="330"/>
      <c r="F101" s="330"/>
    </row>
    <row r="102" spans="1:6">
      <c r="A102" s="1305" t="s">
        <v>75</v>
      </c>
      <c r="B102" s="1306">
        <v>17</v>
      </c>
      <c r="C102" s="330"/>
      <c r="D102" s="330"/>
      <c r="E102" s="330"/>
      <c r="F102" s="330"/>
    </row>
    <row r="103" spans="1:6">
      <c r="A103" s="1305" t="s">
        <v>76</v>
      </c>
      <c r="B103" s="1306">
        <v>57</v>
      </c>
      <c r="C103" s="330"/>
      <c r="D103" s="330"/>
      <c r="E103" s="330"/>
      <c r="F103" s="330"/>
    </row>
    <row r="104" spans="1:6">
      <c r="A104" s="1305" t="s">
        <v>77</v>
      </c>
      <c r="B104" s="1306">
        <v>1941</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83</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30191.771896146169</v>
      </c>
      <c r="C3" s="43" t="s">
        <v>169</v>
      </c>
      <c r="D3" s="43"/>
      <c r="E3" s="154"/>
      <c r="F3" s="43"/>
      <c r="G3" s="43"/>
      <c r="H3" s="43"/>
      <c r="I3" s="43"/>
      <c r="J3" s="43"/>
      <c r="K3" s="96"/>
    </row>
    <row r="4" spans="1:11">
      <c r="A4" s="359" t="s">
        <v>170</v>
      </c>
      <c r="B4" s="49">
        <f>IF(ISERROR('SEAP template'!B78+'SEAP template'!C78),0,'SEAP template'!B78+'SEAP template'!C78)</f>
        <v>19941.152971963911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7.5033250451042408E-2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703.31799999999998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703.31799999999998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7.5033250451042408E-2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52.772235640726244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11813.812</v>
      </c>
      <c r="C5" s="17">
        <f>IF(ISERROR('Eigen informatie GS &amp; warmtenet'!B57),0,'Eigen informatie GS &amp; warmtenet'!B57)</f>
        <v>0</v>
      </c>
      <c r="D5" s="30">
        <f>(SUM(HH_hh_gas_kWh,HH_rest_gas_kWh)/1000)*0.902</f>
        <v>14465.651816000001</v>
      </c>
      <c r="E5" s="17">
        <f>B46*B57</f>
        <v>3137.9773350799155</v>
      </c>
      <c r="F5" s="17">
        <f>B51*B62</f>
        <v>26005.651221510376</v>
      </c>
      <c r="G5" s="18"/>
      <c r="H5" s="17"/>
      <c r="I5" s="17"/>
      <c r="J5" s="17">
        <f>B50*B61+C50*C61</f>
        <v>0</v>
      </c>
      <c r="K5" s="17"/>
      <c r="L5" s="17"/>
      <c r="M5" s="17"/>
      <c r="N5" s="17">
        <f>B48*B59+C48*C59</f>
        <v>5129.1680263188882</v>
      </c>
      <c r="O5" s="17">
        <f>B69*B70*B71</f>
        <v>136.01000000000002</v>
      </c>
      <c r="P5" s="17">
        <f>B77*B78*B79/1000-B77*B78*B79/1000/B80</f>
        <v>400.4</v>
      </c>
    </row>
    <row r="6" spans="1:16">
      <c r="A6" s="16" t="s">
        <v>630</v>
      </c>
      <c r="B6" s="763">
        <f>kWh_PV_kleiner_dan_10kW</f>
        <v>2164.8849727565816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13978.696972756581</v>
      </c>
      <c r="C8" s="21">
        <f>C5</f>
        <v>0</v>
      </c>
      <c r="D8" s="21">
        <f>D5</f>
        <v>14465.651816000001</v>
      </c>
      <c r="E8" s="21">
        <f>E5</f>
        <v>3137.9773350799155</v>
      </c>
      <c r="F8" s="21">
        <f>F5</f>
        <v>26005.651221510376</v>
      </c>
      <c r="G8" s="21"/>
      <c r="H8" s="21"/>
      <c r="I8" s="21"/>
      <c r="J8" s="21">
        <f>J5</f>
        <v>0</v>
      </c>
      <c r="K8" s="21"/>
      <c r="L8" s="21">
        <f>L5</f>
        <v>0</v>
      </c>
      <c r="M8" s="21">
        <f>M5</f>
        <v>0</v>
      </c>
      <c r="N8" s="21">
        <f>N5</f>
        <v>5129.1680263188882</v>
      </c>
      <c r="O8" s="21">
        <f>O5</f>
        <v>136.01000000000002</v>
      </c>
      <c r="P8" s="21">
        <f>P5</f>
        <v>400.4</v>
      </c>
    </row>
    <row r="9" spans="1:16">
      <c r="B9" s="19"/>
      <c r="C9" s="19"/>
      <c r="D9" s="258"/>
      <c r="E9" s="19"/>
      <c r="F9" s="19"/>
      <c r="G9" s="19"/>
      <c r="H9" s="19"/>
      <c r="I9" s="19"/>
      <c r="J9" s="19"/>
      <c r="K9" s="19"/>
      <c r="L9" s="19"/>
      <c r="M9" s="19"/>
      <c r="N9" s="19"/>
      <c r="O9" s="19"/>
      <c r="P9" s="19"/>
    </row>
    <row r="10" spans="1:16">
      <c r="A10" s="24" t="s">
        <v>213</v>
      </c>
      <c r="B10" s="25">
        <f ca="1">'EF ele_warmte'!B12</f>
        <v>7.5033250451042408E-2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1048.8670709360729</v>
      </c>
      <c r="C12" s="23">
        <f ca="1">C10*C8</f>
        <v>0</v>
      </c>
      <c r="D12" s="23">
        <f>D8*D10</f>
        <v>2922.0616668320004</v>
      </c>
      <c r="E12" s="23">
        <f>E10*E8</f>
        <v>712.32085506314081</v>
      </c>
      <c r="F12" s="23">
        <f>F10*F8</f>
        <v>6943.5088761432708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2896</v>
      </c>
      <c r="C28" s="36"/>
      <c r="D28" s="228"/>
    </row>
    <row r="29" spans="1:7" s="15" customFormat="1">
      <c r="A29" s="230" t="s">
        <v>737</v>
      </c>
      <c r="B29" s="37">
        <f>SUM(HH_hh_gas_aantal,HH_rest_gas_aantal)</f>
        <v>1053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1053</v>
      </c>
      <c r="C32" s="167">
        <f>IF(ISERROR(B32/SUM($B$32,$B$34,$B$35,$B$36,$B$38,$B$39)*100),0,B32/SUM($B$32,$B$34,$B$35,$B$36,$B$38,$B$39)*100)</f>
        <v>36.626086956521739</v>
      </c>
      <c r="D32" s="233"/>
      <c r="G32" s="15"/>
    </row>
    <row r="33" spans="1:7">
      <c r="A33" s="171" t="s">
        <v>71</v>
      </c>
      <c r="B33" s="34" t="s">
        <v>110</v>
      </c>
      <c r="C33" s="167"/>
      <c r="D33" s="233"/>
      <c r="G33" s="15"/>
    </row>
    <row r="34" spans="1:7">
      <c r="A34" s="171" t="s">
        <v>72</v>
      </c>
      <c r="B34" s="33">
        <f>IF((($B$28-$B$32-$B$39-$B$77-$B$38)*C20/100)&lt;0,0,($B$28-$B$32-$B$39-$B$77-$B$38)*C20/100)</f>
        <v>39.30952380952381</v>
      </c>
      <c r="C34" s="167">
        <f>IF(ISERROR(B34/SUM($B$32,$B$34,$B$35,$B$36,$B$38,$B$39)*100),0,B34/SUM($B$32,$B$34,$B$35,$B$36,$B$38,$B$39)*100)</f>
        <v>1.3672877846790892</v>
      </c>
      <c r="D34" s="233"/>
      <c r="G34" s="15"/>
    </row>
    <row r="35" spans="1:7">
      <c r="A35" s="171" t="s">
        <v>73</v>
      </c>
      <c r="B35" s="33">
        <f>IF((($B$28-$B$32-$B$39-$B$77-$B$38)*C21/100)&lt;0,0,($B$28-$B$32-$B$39-$B$77-$B$38)*C21/100)</f>
        <v>531.98888888888894</v>
      </c>
      <c r="C35" s="167">
        <f>IF(ISERROR(B35/SUM($B$32,$B$34,$B$35,$B$36,$B$38,$B$39)*100),0,B35/SUM($B$32,$B$34,$B$35,$B$36,$B$38,$B$39)*100)</f>
        <v>18.503961352657004</v>
      </c>
      <c r="D35" s="233"/>
      <c r="G35" s="15"/>
    </row>
    <row r="36" spans="1:7">
      <c r="A36" s="171" t="s">
        <v>74</v>
      </c>
      <c r="B36" s="33">
        <f>IF((($B$28-$B$32-$B$39-$B$77-$B$38)*C22/100)&lt;0,0,($B$28-$B$32-$B$39-$B$77-$B$38)*C22/100)</f>
        <v>89.101587301587315</v>
      </c>
      <c r="C36" s="167">
        <f>IF(ISERROR(B36/SUM($B$32,$B$34,$B$35,$B$36,$B$38,$B$39)*100),0,B36/SUM($B$32,$B$34,$B$35,$B$36,$B$38,$B$39)*100)</f>
        <v>3.0991856452726023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1161.5999999999999</v>
      </c>
      <c r="C39" s="167">
        <f>IF(ISERROR(B39/SUM($B$32,$B$34,$B$35,$B$36,$B$38,$B$39)*100),0,B39/SUM($B$32,$B$34,$B$35,$B$36,$B$38,$B$39)*100)</f>
        <v>40.403478260869562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1053</v>
      </c>
      <c r="C44" s="34" t="s">
        <v>110</v>
      </c>
      <c r="D44" s="174"/>
    </row>
    <row r="45" spans="1:7">
      <c r="A45" s="171" t="s">
        <v>71</v>
      </c>
      <c r="B45" s="33" t="str">
        <f t="shared" si="0"/>
        <v>-</v>
      </c>
      <c r="C45" s="34" t="s">
        <v>110</v>
      </c>
      <c r="D45" s="174"/>
    </row>
    <row r="46" spans="1:7">
      <c r="A46" s="171" t="s">
        <v>72</v>
      </c>
      <c r="B46" s="33">
        <f t="shared" si="0"/>
        <v>39.30952380952381</v>
      </c>
      <c r="C46" s="34" t="s">
        <v>110</v>
      </c>
      <c r="D46" s="174"/>
    </row>
    <row r="47" spans="1:7">
      <c r="A47" s="171" t="s">
        <v>73</v>
      </c>
      <c r="B47" s="33">
        <f t="shared" si="0"/>
        <v>531.98888888888894</v>
      </c>
      <c r="C47" s="34" t="s">
        <v>110</v>
      </c>
      <c r="D47" s="174"/>
    </row>
    <row r="48" spans="1:7">
      <c r="A48" s="171" t="s">
        <v>74</v>
      </c>
      <c r="B48" s="33">
        <f t="shared" si="0"/>
        <v>89.101587301587315</v>
      </c>
      <c r="C48" s="33">
        <f>B48*10</f>
        <v>891.01587301587313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1161.5999999999999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7945.7559999999985</v>
      </c>
      <c r="C5" s="17">
        <f>IF(ISERROR('Eigen informatie GS &amp; warmtenet'!B58),0,'Eigen informatie GS &amp; warmtenet'!B58)</f>
        <v>0</v>
      </c>
      <c r="D5" s="30">
        <f>SUM(D6:D12)</f>
        <v>4253.16903</v>
      </c>
      <c r="E5" s="17">
        <f>SUM(E6:E12)</f>
        <v>124.50377409927168</v>
      </c>
      <c r="F5" s="17">
        <f>SUM(F6:F12)</f>
        <v>1273.8489908831696</v>
      </c>
      <c r="G5" s="18"/>
      <c r="H5" s="17"/>
      <c r="I5" s="17"/>
      <c r="J5" s="17">
        <f>SUM(J6:J12)</f>
        <v>0</v>
      </c>
      <c r="K5" s="17"/>
      <c r="L5" s="17"/>
      <c r="M5" s="17"/>
      <c r="N5" s="17">
        <f>SUM(N6:N12)</f>
        <v>724.10430355503649</v>
      </c>
      <c r="O5" s="17">
        <f>B38*B39*B40</f>
        <v>0</v>
      </c>
      <c r="P5" s="17">
        <f>B46*B47*B48/1000-B46*B47*B48/1000/B49</f>
        <v>0</v>
      </c>
      <c r="R5" s="32"/>
    </row>
    <row r="6" spans="1:18">
      <c r="A6" s="32" t="s">
        <v>53</v>
      </c>
      <c r="B6" s="37">
        <f>B26</f>
        <v>2532.6149999999998</v>
      </c>
      <c r="C6" s="33"/>
      <c r="D6" s="37">
        <f>IF(ISERROR(TER_kantoor_gas_kWh/1000),0,TER_kantoor_gas_kWh/1000)*0.902</f>
        <v>737.22354200000007</v>
      </c>
      <c r="E6" s="33">
        <f>$C$26*'E Balans VL '!I12/100/3.6*1000000</f>
        <v>7.337357242308828</v>
      </c>
      <c r="F6" s="33">
        <f>$C$26*('E Balans VL '!L12+'E Balans VL '!N12)/100/3.6*1000000</f>
        <v>286.63622016541302</v>
      </c>
      <c r="G6" s="34"/>
      <c r="H6" s="33"/>
      <c r="I6" s="33"/>
      <c r="J6" s="33">
        <f>$C$26*('E Balans VL '!D12+'E Balans VL '!E12)/100/3.6*1000000</f>
        <v>0</v>
      </c>
      <c r="K6" s="33"/>
      <c r="L6" s="33"/>
      <c r="M6" s="33"/>
      <c r="N6" s="33">
        <f>$C$26*'E Balans VL '!Y12/100/3.6*1000000</f>
        <v>25.349610035948302</v>
      </c>
      <c r="O6" s="33"/>
      <c r="P6" s="33"/>
      <c r="R6" s="32"/>
    </row>
    <row r="7" spans="1:18">
      <c r="A7" s="32" t="s">
        <v>52</v>
      </c>
      <c r="B7" s="37">
        <f t="shared" ref="B7:B12" si="0">B27</f>
        <v>2225.355</v>
      </c>
      <c r="C7" s="33"/>
      <c r="D7" s="37">
        <f>IF(ISERROR(TER_horeca_gas_kWh/1000),0,TER_horeca_gas_kWh/1000)*0.902</f>
        <v>2070.1630620000001</v>
      </c>
      <c r="E7" s="33">
        <f>$C$27*'E Balans VL '!I9/100/3.6*1000000</f>
        <v>93.414185381012018</v>
      </c>
      <c r="F7" s="33">
        <f>$C$27*('E Balans VL '!L9+'E Balans VL '!N9)/100/3.6*1000000</f>
        <v>478.16315695233283</v>
      </c>
      <c r="G7" s="34"/>
      <c r="H7" s="33"/>
      <c r="I7" s="33"/>
      <c r="J7" s="33">
        <f>$C$27*('E Balans VL '!D9+'E Balans VL '!E9)/100/3.6*1000000</f>
        <v>0</v>
      </c>
      <c r="K7" s="33"/>
      <c r="L7" s="33"/>
      <c r="M7" s="33"/>
      <c r="N7" s="33">
        <f>$C$27*'E Balans VL '!Y9/100/3.6*1000000</f>
        <v>0.57345452206451653</v>
      </c>
      <c r="O7" s="33"/>
      <c r="P7" s="33"/>
      <c r="R7" s="32"/>
    </row>
    <row r="8" spans="1:18">
      <c r="A8" s="6" t="s">
        <v>51</v>
      </c>
      <c r="B8" s="37">
        <f t="shared" si="0"/>
        <v>1878.248</v>
      </c>
      <c r="C8" s="33"/>
      <c r="D8" s="37">
        <f>IF(ISERROR(TER_handel_gas_kWh/1000),0,TER_handel_gas_kWh/1000)*0.902</f>
        <v>253.64510599999997</v>
      </c>
      <c r="E8" s="33">
        <f>$C$28*'E Balans VL '!I13/100/3.6*1000000</f>
        <v>20.173946741373349</v>
      </c>
      <c r="F8" s="33">
        <f>$C$28*('E Balans VL '!L13+'E Balans VL '!N13)/100/3.6*1000000</f>
        <v>243.15471385224342</v>
      </c>
      <c r="G8" s="34"/>
      <c r="H8" s="33"/>
      <c r="I8" s="33"/>
      <c r="J8" s="33">
        <f>$C$28*('E Balans VL '!D13+'E Balans VL '!E13)/100/3.6*1000000</f>
        <v>0</v>
      </c>
      <c r="K8" s="33"/>
      <c r="L8" s="33"/>
      <c r="M8" s="33"/>
      <c r="N8" s="33">
        <f>$C$28*'E Balans VL '!Y13/100/3.6*1000000</f>
        <v>15.236450332799924</v>
      </c>
      <c r="O8" s="33"/>
      <c r="P8" s="33"/>
      <c r="R8" s="32"/>
    </row>
    <row r="9" spans="1:18">
      <c r="A9" s="32" t="s">
        <v>50</v>
      </c>
      <c r="B9" s="37">
        <f t="shared" si="0"/>
        <v>283.803</v>
      </c>
      <c r="C9" s="33"/>
      <c r="D9" s="37">
        <f>IF(ISERROR(TER_gezond_gas_kWh/1000),0,TER_gezond_gas_kWh/1000)*0.902</f>
        <v>625.35569799999996</v>
      </c>
      <c r="E9" s="33">
        <f>$C$29*'E Balans VL '!I10/100/3.6*1000000</f>
        <v>0.22592554388627129</v>
      </c>
      <c r="F9" s="33">
        <f>$C$29*('E Balans VL '!L10+'E Balans VL '!N10)/100/3.6*1000000</f>
        <v>34.500355972757802</v>
      </c>
      <c r="G9" s="34"/>
      <c r="H9" s="33"/>
      <c r="I9" s="33"/>
      <c r="J9" s="33">
        <f>$C$29*('E Balans VL '!D10+'E Balans VL '!E10)/100/3.6*1000000</f>
        <v>0</v>
      </c>
      <c r="K9" s="33"/>
      <c r="L9" s="33"/>
      <c r="M9" s="33"/>
      <c r="N9" s="33">
        <f>$C$29*'E Balans VL '!Y10/100/3.6*1000000</f>
        <v>2.2924854453353238</v>
      </c>
      <c r="O9" s="33"/>
      <c r="P9" s="33"/>
      <c r="R9" s="32"/>
    </row>
    <row r="10" spans="1:18">
      <c r="A10" s="32" t="s">
        <v>49</v>
      </c>
      <c r="B10" s="37">
        <f t="shared" si="0"/>
        <v>966.19500000000005</v>
      </c>
      <c r="C10" s="33"/>
      <c r="D10" s="37">
        <f>IF(ISERROR(TER_ander_gas_kWh/1000),0,TER_ander_gas_kWh/1000)*0.902</f>
        <v>361.68486200000001</v>
      </c>
      <c r="E10" s="33">
        <f>$C$30*'E Balans VL '!I14/100/3.6*1000000</f>
        <v>3.3112010223789166</v>
      </c>
      <c r="F10" s="33">
        <f>$C$30*('E Balans VL '!L14+'E Balans VL '!N14)/100/3.6*1000000</f>
        <v>215.808701460072</v>
      </c>
      <c r="G10" s="34"/>
      <c r="H10" s="33"/>
      <c r="I10" s="33"/>
      <c r="J10" s="33">
        <f>$C$30*('E Balans VL '!D14+'E Balans VL '!E14)/100/3.6*1000000</f>
        <v>0</v>
      </c>
      <c r="K10" s="33"/>
      <c r="L10" s="33"/>
      <c r="M10" s="33"/>
      <c r="N10" s="33">
        <f>$C$30*'E Balans VL '!Y14/100/3.6*1000000</f>
        <v>680.59303622010998</v>
      </c>
      <c r="O10" s="33"/>
      <c r="P10" s="33"/>
      <c r="R10" s="32"/>
    </row>
    <row r="11" spans="1:18">
      <c r="A11" s="32" t="s">
        <v>54</v>
      </c>
      <c r="B11" s="37">
        <f t="shared" si="0"/>
        <v>59.54</v>
      </c>
      <c r="C11" s="33"/>
      <c r="D11" s="37">
        <f>IF(ISERROR(TER_onderwijs_gas_kWh/1000),0,TER_onderwijs_gas_kWh/1000)*0.902</f>
        <v>205.09675999999999</v>
      </c>
      <c r="E11" s="33">
        <f>$C$31*'E Balans VL '!I11/100/3.6*1000000</f>
        <v>4.1158168312313496E-2</v>
      </c>
      <c r="F11" s="33">
        <f>$C$31*('E Balans VL '!L11+'E Balans VL '!N11)/100/3.6*1000000</f>
        <v>15.585842480350724</v>
      </c>
      <c r="G11" s="34"/>
      <c r="H11" s="33"/>
      <c r="I11" s="33"/>
      <c r="J11" s="33">
        <f>$C$31*('E Balans VL '!D11+'E Balans VL '!E11)/100/3.6*1000000</f>
        <v>0</v>
      </c>
      <c r="K11" s="33"/>
      <c r="L11" s="33"/>
      <c r="M11" s="33"/>
      <c r="N11" s="33">
        <f>$C$31*'E Balans VL '!Y11/100/3.6*1000000</f>
        <v>5.9266998778397174E-2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7945.7559999999985</v>
      </c>
      <c r="C16" s="21">
        <f t="shared" ca="1" si="1"/>
        <v>0</v>
      </c>
      <c r="D16" s="21">
        <f t="shared" ca="1" si="1"/>
        <v>4253.16903</v>
      </c>
      <c r="E16" s="21">
        <f t="shared" si="1"/>
        <v>124.50377409927168</v>
      </c>
      <c r="F16" s="21">
        <f t="shared" ca="1" si="1"/>
        <v>1273.8489908831696</v>
      </c>
      <c r="G16" s="21">
        <f t="shared" si="1"/>
        <v>0</v>
      </c>
      <c r="H16" s="21">
        <f t="shared" si="1"/>
        <v>0</v>
      </c>
      <c r="I16" s="21">
        <f t="shared" si="1"/>
        <v>0</v>
      </c>
      <c r="J16" s="21">
        <f t="shared" si="1"/>
        <v>0</v>
      </c>
      <c r="K16" s="21">
        <f t="shared" si="1"/>
        <v>0</v>
      </c>
      <c r="L16" s="21">
        <f t="shared" ca="1" si="1"/>
        <v>0</v>
      </c>
      <c r="M16" s="21">
        <f t="shared" si="1"/>
        <v>0</v>
      </c>
      <c r="N16" s="21">
        <f t="shared" ca="1" si="1"/>
        <v>724.10430355503649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7.5033250451042408E-2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596.1958999708728</v>
      </c>
      <c r="C20" s="23">
        <f t="shared" ref="C20:P20" ca="1" si="2">C16*C18</f>
        <v>0</v>
      </c>
      <c r="D20" s="23">
        <f t="shared" ca="1" si="2"/>
        <v>859.14014406000001</v>
      </c>
      <c r="E20" s="23">
        <f t="shared" si="2"/>
        <v>28.262356720534672</v>
      </c>
      <c r="F20" s="23">
        <f t="shared" ca="1" si="2"/>
        <v>340.11768056580627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2532.6149999999998</v>
      </c>
      <c r="C26" s="39">
        <f>IF(ISERROR(B26*3.6/1000000/'E Balans VL '!Z12*100),0,B26*3.6/1000000/'E Balans VL '!Z12*100)</f>
        <v>5.5631816471141453E-2</v>
      </c>
      <c r="D26" s="237" t="s">
        <v>691</v>
      </c>
      <c r="F26" s="6"/>
    </row>
    <row r="27" spans="1:18">
      <c r="A27" s="231" t="s">
        <v>52</v>
      </c>
      <c r="B27" s="33">
        <f>IF(ISERROR(TER_horeca_ele_kWh/1000),0,TER_horeca_ele_kWh/1000)</f>
        <v>2225.355</v>
      </c>
      <c r="C27" s="39">
        <f>IF(ISERROR(B27*3.6/1000000/'E Balans VL '!Z9*100),0,B27*3.6/1000000/'E Balans VL '!Z9*100)</f>
        <v>0.17882945685064047</v>
      </c>
      <c r="D27" s="237" t="s">
        <v>691</v>
      </c>
      <c r="F27" s="6"/>
    </row>
    <row r="28" spans="1:18">
      <c r="A28" s="171" t="s">
        <v>51</v>
      </c>
      <c r="B28" s="33">
        <f>IF(ISERROR(TER_handel_ele_kWh/1000),0,TER_handel_ele_kWh/1000)</f>
        <v>1878.248</v>
      </c>
      <c r="C28" s="39">
        <f>IF(ISERROR(B28*3.6/1000000/'E Balans VL '!Z13*100),0,B28*3.6/1000000/'E Balans VL '!Z13*100)</f>
        <v>5.5538481188396105E-2</v>
      </c>
      <c r="D28" s="237" t="s">
        <v>691</v>
      </c>
      <c r="F28" s="6"/>
    </row>
    <row r="29" spans="1:18">
      <c r="A29" s="231" t="s">
        <v>50</v>
      </c>
      <c r="B29" s="33">
        <f>IF(ISERROR(TER_gezond_ele_kWh/1000),0,TER_gezond_ele_kWh/1000)</f>
        <v>283.803</v>
      </c>
      <c r="C29" s="39">
        <f>IF(ISERROR(B29*3.6/1000000/'E Balans VL '!Z10*100),0,B29*3.6/1000000/'E Balans VL '!Z10*100)</f>
        <v>3.1977270952429693E-2</v>
      </c>
      <c r="D29" s="237" t="s">
        <v>691</v>
      </c>
      <c r="F29" s="6"/>
    </row>
    <row r="30" spans="1:18">
      <c r="A30" s="231" t="s">
        <v>49</v>
      </c>
      <c r="B30" s="33">
        <f>IF(ISERROR(TER_ander_ele_kWh/1000),0,TER_ander_ele_kWh/1000)</f>
        <v>966.19500000000005</v>
      </c>
      <c r="C30" s="39">
        <f>IF(ISERROR(B30*3.6/1000000/'E Balans VL '!Z14*100),0,B30*3.6/1000000/'E Balans VL '!Z14*100)</f>
        <v>7.3071676214251979E-2</v>
      </c>
      <c r="D30" s="237" t="s">
        <v>691</v>
      </c>
      <c r="F30" s="6"/>
    </row>
    <row r="31" spans="1:18">
      <c r="A31" s="231" t="s">
        <v>54</v>
      </c>
      <c r="B31" s="33">
        <f>IF(ISERROR(TER_onderwijs_ele_kWh/1000),0,TER_onderwijs_ele_kWh/1000)</f>
        <v>59.54</v>
      </c>
      <c r="C31" s="39">
        <f>IF(ISERROR(B31*3.6/1000000/'E Balans VL '!Z11*100),0,B31*3.6/1000000/'E Balans VL '!Z11*100)</f>
        <v>1.235912183823679E-2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6902.1550000000007</v>
      </c>
      <c r="C5" s="17">
        <f>IF(ISERROR('Eigen informatie GS &amp; warmtenet'!B59),0,'Eigen informatie GS &amp; warmtenet'!B59)</f>
        <v>0</v>
      </c>
      <c r="D5" s="30">
        <f>SUM(D6:D15)</f>
        <v>2223.3876059999998</v>
      </c>
      <c r="E5" s="17">
        <f>SUM(E6:E15)</f>
        <v>437.09045807227864</v>
      </c>
      <c r="F5" s="17">
        <f>SUM(F6:F15)</f>
        <v>1764.350853971906</v>
      </c>
      <c r="G5" s="18"/>
      <c r="H5" s="17"/>
      <c r="I5" s="17"/>
      <c r="J5" s="17">
        <f>SUM(J6:J15)</f>
        <v>11.197654957007321</v>
      </c>
      <c r="K5" s="17"/>
      <c r="L5" s="17"/>
      <c r="M5" s="17"/>
      <c r="N5" s="17">
        <f>SUM(N6:N15)</f>
        <v>217.88183085248008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379.255</v>
      </c>
      <c r="C8" s="33"/>
      <c r="D8" s="37">
        <f>IF( ISERROR(IND_metaal_Gas_kWH/1000),0,IND_metaal_Gas_kWH/1000)*0.902</f>
        <v>91.406875999999997</v>
      </c>
      <c r="E8" s="33">
        <f>C30*'E Balans VL '!I18/100/3.6*1000000</f>
        <v>9.4914252859369181</v>
      </c>
      <c r="F8" s="33">
        <f>C30*'E Balans VL '!L18/100/3.6*1000000+C30*'E Balans VL '!N18/100/3.6*1000000</f>
        <v>118.86040351138944</v>
      </c>
      <c r="G8" s="34"/>
      <c r="H8" s="33"/>
      <c r="I8" s="33"/>
      <c r="J8" s="40">
        <f>C30*'E Balans VL '!D18/100/3.6*1000000+C30*'E Balans VL '!E18/100/3.6*1000000</f>
        <v>0</v>
      </c>
      <c r="K8" s="33"/>
      <c r="L8" s="33"/>
      <c r="M8" s="33"/>
      <c r="N8" s="33">
        <f>C30*'E Balans VL '!Y18/100/3.6*1000000</f>
        <v>9.5278698525524845</v>
      </c>
      <c r="O8" s="33"/>
      <c r="P8" s="33"/>
      <c r="R8" s="32"/>
    </row>
    <row r="9" spans="1:18">
      <c r="A9" s="6" t="s">
        <v>32</v>
      </c>
      <c r="B9" s="37">
        <f t="shared" si="0"/>
        <v>1495.4169999999999</v>
      </c>
      <c r="C9" s="33"/>
      <c r="D9" s="37">
        <f>IF( ISERROR(IND_andere_gas_kWh/1000),0,IND_andere_gas_kWh/1000)*0.902</f>
        <v>208.88696400000001</v>
      </c>
      <c r="E9" s="33">
        <f>C31*'E Balans VL '!I19/100/3.6*1000000</f>
        <v>411.17834038860843</v>
      </c>
      <c r="F9" s="33">
        <f>C31*'E Balans VL '!L19/100/3.6*1000000+C31*'E Balans VL '!N19/100/3.6*1000000</f>
        <v>1178.648817241354</v>
      </c>
      <c r="G9" s="34"/>
      <c r="H9" s="33"/>
      <c r="I9" s="33"/>
      <c r="J9" s="40">
        <f>C31*'E Balans VL '!D19/100/3.6*1000000+C31*'E Balans VL '!E19/100/3.6*1000000</f>
        <v>0</v>
      </c>
      <c r="K9" s="33"/>
      <c r="L9" s="33"/>
      <c r="M9" s="33"/>
      <c r="N9" s="33">
        <f>C31*'E Balans VL '!Y19/100/3.6*1000000</f>
        <v>120.47173586520707</v>
      </c>
      <c r="O9" s="33"/>
      <c r="P9" s="33"/>
      <c r="R9" s="32"/>
    </row>
    <row r="10" spans="1:18">
      <c r="A10" s="6" t="s">
        <v>40</v>
      </c>
      <c r="B10" s="37">
        <f t="shared" si="0"/>
        <v>166.72300000000001</v>
      </c>
      <c r="C10" s="33"/>
      <c r="D10" s="37">
        <f>IF( ISERROR(IND_voed_gas_kWh/1000),0,IND_voed_gas_kWh/1000)*0.902</f>
        <v>0</v>
      </c>
      <c r="E10" s="33">
        <f>C32*'E Balans VL '!I20/100/3.6*1000000</f>
        <v>1.6996491367752118</v>
      </c>
      <c r="F10" s="33">
        <f>C32*'E Balans VL '!L20/100/3.6*1000000+C32*'E Balans VL '!N20/100/3.6*1000000</f>
        <v>314.93870424829282</v>
      </c>
      <c r="G10" s="34"/>
      <c r="H10" s="33"/>
      <c r="I10" s="33"/>
      <c r="J10" s="40">
        <f>C32*'E Balans VL '!D20/100/3.6*1000000+C32*'E Balans VL '!E20/100/3.6*1000000</f>
        <v>3.990226910125787</v>
      </c>
      <c r="K10" s="33"/>
      <c r="L10" s="33"/>
      <c r="M10" s="33"/>
      <c r="N10" s="33">
        <f>C32*'E Balans VL '!Y20/100/3.6*1000000</f>
        <v>87.882225134720528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4860.76</v>
      </c>
      <c r="C12" s="33"/>
      <c r="D12" s="37">
        <f>IF( ISERROR(IND_min_gas_kWh/1000),0,IND_min_gas_kWh/1000)*0.902</f>
        <v>0</v>
      </c>
      <c r="E12" s="33">
        <f>C34*'E Balans VL '!I22/100/3.6*1000000</f>
        <v>14.721043260958023</v>
      </c>
      <c r="F12" s="33">
        <f>C34*'E Balans VL '!L22/100/3.6*1000000+C34*'E Balans VL '!N22/100/3.6*1000000</f>
        <v>151.90292897086977</v>
      </c>
      <c r="G12" s="34"/>
      <c r="H12" s="33"/>
      <c r="I12" s="33"/>
      <c r="J12" s="40">
        <f>C34*'E Balans VL '!D22/100/3.6*1000000+C34*'E Balans VL '!E22/100/3.6*1000000</f>
        <v>7.2074280468815344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1923.093766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6902.1550000000007</v>
      </c>
      <c r="C18" s="21">
        <f>C5+C16</f>
        <v>0</v>
      </c>
      <c r="D18" s="21">
        <f>MAX((D5+D16),0)</f>
        <v>2223.3876059999998</v>
      </c>
      <c r="E18" s="21">
        <f>MAX((E5+E16),0)</f>
        <v>437.09045807227864</v>
      </c>
      <c r="F18" s="21">
        <f>MAX((F5+F16),0)</f>
        <v>1764.350853971906</v>
      </c>
      <c r="G18" s="21"/>
      <c r="H18" s="21"/>
      <c r="I18" s="21"/>
      <c r="J18" s="21">
        <f>MAX((J5+J16),0)</f>
        <v>11.197654957007321</v>
      </c>
      <c r="K18" s="21"/>
      <c r="L18" s="21">
        <f>MAX((L5+L16),0)</f>
        <v>0</v>
      </c>
      <c r="M18" s="21"/>
      <c r="N18" s="21">
        <f>MAX((N5+N16),0)</f>
        <v>217.88183085248008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7.5033250451042408E-2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517.89112476691469</v>
      </c>
      <c r="C22" s="23">
        <f ca="1">C18*C20</f>
        <v>0</v>
      </c>
      <c r="D22" s="23">
        <f>D18*D20</f>
        <v>449.12429641199998</v>
      </c>
      <c r="E22" s="23">
        <f>E18*E20</f>
        <v>99.219533982407256</v>
      </c>
      <c r="F22" s="23">
        <f>F18*F20</f>
        <v>471.08167801049893</v>
      </c>
      <c r="G22" s="23"/>
      <c r="H22" s="23"/>
      <c r="I22" s="23"/>
      <c r="J22" s="23">
        <f>J18*J20</f>
        <v>3.9639698547805917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379.255</v>
      </c>
      <c r="C30" s="39">
        <f>IF(ISERROR(B30*3.6/1000000/'E Balans VL '!Z18*100),0,B30*3.6/1000000/'E Balans VL '!Z18*100)</f>
        <v>5.3083061187500176E-2</v>
      </c>
      <c r="D30" s="237" t="s">
        <v>691</v>
      </c>
    </row>
    <row r="31" spans="1:18">
      <c r="A31" s="6" t="s">
        <v>32</v>
      </c>
      <c r="B31" s="37">
        <f>IF( ISERROR(IND_ander_ele_kWh/1000),0,IND_ander_ele_kWh/1000)</f>
        <v>1495.4169999999999</v>
      </c>
      <c r="C31" s="39">
        <f>IF(ISERROR(B31*3.6/1000000/'E Balans VL '!Z19*100),0,B31*3.6/1000000/'E Balans VL '!Z19*100)</f>
        <v>6.5454159498896616E-2</v>
      </c>
      <c r="D31" s="237" t="s">
        <v>691</v>
      </c>
    </row>
    <row r="32" spans="1:18">
      <c r="A32" s="171" t="s">
        <v>40</v>
      </c>
      <c r="B32" s="37">
        <f>IF( ISERROR(IND_voed_ele_kWh/1000),0,IND_voed_ele_kWh/1000)</f>
        <v>166.72300000000001</v>
      </c>
      <c r="C32" s="39">
        <f>IF(ISERROR(B32*3.6/1000000/'E Balans VL '!Z20*100),0,B32*3.6/1000000/'E Balans VL '!Z20*100)</f>
        <v>4.1275078202265343E-2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4860.76</v>
      </c>
      <c r="C34" s="39">
        <f>IF(ISERROR(B34*3.6/1000000/'E Balans VL '!Z22*100),0,B34*3.6/1000000/'E Balans VL '!Z22*100)</f>
        <v>0.13792853796499743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185.041</v>
      </c>
      <c r="C5" s="17">
        <f>'Eigen informatie GS &amp; warmtenet'!B60</f>
        <v>0</v>
      </c>
      <c r="D5" s="30">
        <f>IF(ISERROR(SUM(LB_lb_gas_kWh,LB_rest_gas_kWh)/1000),0,SUM(LB_lb_gas_kWh,LB_rest_gas_kWh)/1000)*0.902</f>
        <v>88.421256000000014</v>
      </c>
      <c r="E5" s="17">
        <f>B17*'E Balans VL '!I25/3.6*1000000/100</f>
        <v>1.7139272442949598</v>
      </c>
      <c r="F5" s="17">
        <f>B17*('E Balans VL '!L25/3.6*1000000+'E Balans VL '!N25/3.6*1000000)/100</f>
        <v>469.48426727432548</v>
      </c>
      <c r="G5" s="18"/>
      <c r="H5" s="17"/>
      <c r="I5" s="17"/>
      <c r="J5" s="17">
        <f>('E Balans VL '!D25+'E Balans VL '!E25)/3.6*1000000*landbouw!B17/100</f>
        <v>28.368850363587086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185.041</v>
      </c>
      <c r="C8" s="21">
        <f>C5+C6</f>
        <v>0</v>
      </c>
      <c r="D8" s="21">
        <f>MAX((D5+D6),0)</f>
        <v>88.421256000000014</v>
      </c>
      <c r="E8" s="21">
        <f>MAX((E5+E6),0)</f>
        <v>1.7139272442949598</v>
      </c>
      <c r="F8" s="21">
        <f>MAX((F5+F6),0)</f>
        <v>469.48426727432548</v>
      </c>
      <c r="G8" s="21"/>
      <c r="H8" s="21"/>
      <c r="I8" s="21"/>
      <c r="J8" s="21">
        <f>MAX((J5+J6),0)</f>
        <v>28.368850363587086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7.5033250451042408E-2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13.884227696711338</v>
      </c>
      <c r="C12" s="23">
        <f ca="1">C8*C10</f>
        <v>0</v>
      </c>
      <c r="D12" s="23">
        <f>D8*D10</f>
        <v>17.861093712000002</v>
      </c>
      <c r="E12" s="23">
        <f>E8*E10</f>
        <v>0.38906148445495586</v>
      </c>
      <c r="F12" s="23">
        <f>F8*F10</f>
        <v>125.35229936224491</v>
      </c>
      <c r="G12" s="23"/>
      <c r="H12" s="23"/>
      <c r="I12" s="23"/>
      <c r="J12" s="23">
        <f>J8*J10</f>
        <v>10.042573028709828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2.6308906652618484E-2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25.476138217542069</v>
      </c>
      <c r="C26" s="247">
        <f>B26*'GWP N2O_CH4'!B5</f>
        <v>534.99890256838341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4.543028682404505</v>
      </c>
      <c r="C27" s="247">
        <f>B27*'GWP N2O_CH4'!B5</f>
        <v>95.403602330494607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0.40690612179122743</v>
      </c>
      <c r="C28" s="247">
        <f>B28*'GWP N2O_CH4'!B4</f>
        <v>126.14089775528051</v>
      </c>
      <c r="D28" s="50"/>
    </row>
    <row r="29" spans="1:4">
      <c r="A29" s="41" t="s">
        <v>276</v>
      </c>
      <c r="B29" s="247">
        <f>B34*'ha_N2O bodem landbouw'!B4</f>
        <v>2.1646703972617267</v>
      </c>
      <c r="C29" s="247">
        <f>B29*'GWP N2O_CH4'!B4</f>
        <v>671.04782315113528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4.8549743443557583E-4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3.6114924202517644E-5</v>
      </c>
      <c r="C5" s="438" t="s">
        <v>210</v>
      </c>
      <c r="D5" s="423">
        <f>SUM(D6:D11)</f>
        <v>6.9424272847794683E-5</v>
      </c>
      <c r="E5" s="423">
        <f>SUM(E6:E11)</f>
        <v>7.0020187910026991E-4</v>
      </c>
      <c r="F5" s="436" t="s">
        <v>210</v>
      </c>
      <c r="G5" s="423">
        <f>SUM(G6:G11)</f>
        <v>0.21880186379129321</v>
      </c>
      <c r="H5" s="423">
        <f>SUM(H6:H11)</f>
        <v>4.2619532271536142E-2</v>
      </c>
      <c r="I5" s="438" t="s">
        <v>210</v>
      </c>
      <c r="J5" s="438" t="s">
        <v>210</v>
      </c>
      <c r="K5" s="438" t="s">
        <v>210</v>
      </c>
      <c r="L5" s="438" t="s">
        <v>210</v>
      </c>
      <c r="M5" s="423">
        <f>SUM(M6:M11)</f>
        <v>1.39855266816895E-2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2.2698476341860049E-5</v>
      </c>
      <c r="C6" s="424"/>
      <c r="D6" s="866">
        <f>vkm_GW_PW*SUMIFS(TableVerdeelsleutelVkm[CNG],TableVerdeelsleutelVkm[Voertuigtype],"Lichte voertuigen")*SUMIFS(TableECFTransport[EnergieConsumptieFactor (PJ per km)],TableECFTransport[Index],CONCATENATE($A6,"_CNG_CNG"))</f>
        <v>3.9608489102890497E-5</v>
      </c>
      <c r="E6" s="866">
        <f>vkm_GW_PW*SUMIFS(TableVerdeelsleutelVkm[LPG],TableVerdeelsleutelVkm[Voertuigtype],"Lichte voertuigen")*SUMIFS(TableECFTransport[EnergieConsumptieFactor (PJ per km)],TableECFTransport[Index],CONCATENATE($A6,"_LPG_LPG"))</f>
        <v>3.8362768739490949E-4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9.0159107593726265E-2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2.4256010475111302E-2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5.9670462048650131E-3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2.2820857931135096E-2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4.4256897380888624E-7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1.3231017503989996E-3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5.0037893404748993E-6</v>
      </c>
      <c r="C8" s="424"/>
      <c r="D8" s="426">
        <f>vkm_NGW_PW*SUMIFS(TableVerdeelsleutelVkm[CNG],TableVerdeelsleutelVkm[Voertuigtype],"Lichte voertuigen")*SUMIFS(TableECFTransport[EnergieConsumptieFactor (PJ per km)],TableECFTransport[Index],CONCATENATE($A8,"_CNG_CNG"))</f>
        <v>1.4951580648437795E-5</v>
      </c>
      <c r="E8" s="426">
        <f>vkm_NGW_PW*SUMIFS(TableVerdeelsleutelVkm[LPG],TableVerdeelsleutelVkm[Voertuigtype],"Lichte voertuigen")*SUMIFS(TableECFTransport[EnergieConsumptieFactor (PJ per km)],TableECFTransport[Index],CONCATENATE($A8,"_LPG_LPG"))</f>
        <v>1.3704478312880002E-4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3.0232326361015031E-2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8.8407604384322241E-3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2.0224527531277595E-3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2.1456494727281801E-4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5.1542332540089888E-9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1.2440020856894087E-5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8.4126585201826993E-6</v>
      </c>
      <c r="C10" s="424"/>
      <c r="D10" s="426">
        <f>vkm_SW_PW*SUMIFS(TableVerdeelsleutelVkm[CNG],TableVerdeelsleutelVkm[Voertuigtype],"Lichte voertuigen")*SUMIFS(TableECFTransport[EnergieConsumptieFactor (PJ per km)],TableECFTransport[Index],CONCATENATE($A10,"_CNG_CNG"))</f>
        <v>1.4864203096466382E-5</v>
      </c>
      <c r="E10" s="426">
        <f>vkm_SW_PW*SUMIFS(TableVerdeelsleutelVkm[LPG],TableVerdeelsleutelVkm[Voertuigtype],"Lichte voertuigen")*SUMIFS(TableECFTransport[EnergieConsumptieFactor (PJ per km)],TableECFTransport[Index],CONCATENATE($A10,"_LPG_LPG"))</f>
        <v>1.7952940857656041E-4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3.7938349087473122E-2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9.5215422220362601E-3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2.489991779603116E-3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3.7436657870670888E-2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7.7141274929452777E-7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2.1704941728377205E-3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10.031923389588234</v>
      </c>
      <c r="C14" s="21"/>
      <c r="D14" s="21">
        <f t="shared" ref="D14:M14" si="0">((D5)*10^9/3600)+D12</f>
        <v>19.284520235498523</v>
      </c>
      <c r="E14" s="21">
        <f t="shared" si="0"/>
        <v>194.50052197229718</v>
      </c>
      <c r="F14" s="21"/>
      <c r="G14" s="21">
        <f t="shared" si="0"/>
        <v>60778.295497581443</v>
      </c>
      <c r="H14" s="21">
        <f t="shared" si="0"/>
        <v>11838.758964315595</v>
      </c>
      <c r="I14" s="21"/>
      <c r="J14" s="21"/>
      <c r="K14" s="21"/>
      <c r="L14" s="21"/>
      <c r="M14" s="21">
        <f t="shared" si="0"/>
        <v>3884.8685226915277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7.5033250451042408E-2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0.7527278201966443</v>
      </c>
      <c r="C18" s="23"/>
      <c r="D18" s="23">
        <f t="shared" ref="D18:M18" si="1">D14*D16</f>
        <v>3.8954730875707018</v>
      </c>
      <c r="E18" s="23">
        <f t="shared" si="1"/>
        <v>44.15161848771146</v>
      </c>
      <c r="F18" s="23"/>
      <c r="G18" s="23">
        <f t="shared" si="1"/>
        <v>16227.804897854247</v>
      </c>
      <c r="H18" s="23">
        <f t="shared" si="1"/>
        <v>2947.8509821145831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4.1188754964832696E-3</v>
      </c>
      <c r="H50" s="319">
        <f t="shared" si="2"/>
        <v>0</v>
      </c>
      <c r="I50" s="319">
        <f t="shared" si="2"/>
        <v>0</v>
      </c>
      <c r="J50" s="319">
        <f t="shared" si="2"/>
        <v>0</v>
      </c>
      <c r="K50" s="319">
        <f t="shared" si="2"/>
        <v>0</v>
      </c>
      <c r="L50" s="319">
        <f t="shared" si="2"/>
        <v>0</v>
      </c>
      <c r="M50" s="319">
        <f t="shared" si="2"/>
        <v>2.3542238672513989E-4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4.1188754964832696E-3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2.3542238672513989E-4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1144.1320823564638</v>
      </c>
      <c r="H54" s="21">
        <f t="shared" si="3"/>
        <v>0</v>
      </c>
      <c r="I54" s="21">
        <f t="shared" si="3"/>
        <v>0</v>
      </c>
      <c r="J54" s="21">
        <f t="shared" si="3"/>
        <v>0</v>
      </c>
      <c r="K54" s="21">
        <f t="shared" si="3"/>
        <v>0</v>
      </c>
      <c r="L54" s="21">
        <f t="shared" si="3"/>
        <v>0</v>
      </c>
      <c r="M54" s="21">
        <f t="shared" si="3"/>
        <v>65.395107423649975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7.5033250451042408E-2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305.48326598917583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17519.406279682578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2421.7466922813333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19941.152971963911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2020-06-20T16:11:51Z</dcterms:modified>
</cp:coreProperties>
</file>