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E88" i="14" l="1"/>
  <c r="E18" i="59" s="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22" i="14"/>
  <c r="N27"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N63" i="14"/>
  <c r="E8" i="48"/>
  <c r="E26" i="48" s="1"/>
  <c r="E33" i="48" s="1"/>
  <c r="F13" i="14"/>
  <c r="F16" i="14" s="1"/>
  <c r="F27" i="14" s="1"/>
  <c r="F63" i="14" s="1"/>
  <c r="J22" i="16"/>
  <c r="K43" i="14" s="1"/>
  <c r="K46" i="14" s="1"/>
  <c r="K61" i="14" s="1"/>
  <c r="K63" i="14" s="1"/>
  <c r="K13" i="14"/>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<sst xmlns="http://schemas.openxmlformats.org/spreadsheetml/2006/main" count="2443" uniqueCount="919">
  <si>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</si>
  <si>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</si>
  <si>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</si>
  <si>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</si>
  <si>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</si>
  <si>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</si>
  <si>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</si>
  <si>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</si>
  <si>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</si>
  <si>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</si>
  <si>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</si>
  <si>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</si>
  <si>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</si>
  <si>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</si>
  <si>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</si>
  <si>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</si>
  <si>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</si>
  <si>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</si>
  <si>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</si>
  <si>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</si>
  <si>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</si>
  <si>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</si>
  <si>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</si>
  <si>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</si>
  <si>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</si>
  <si>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</si>
  <si>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</si>
  <si>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</si>
  <si>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</si>
  <si>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</si>
  <si>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</si>
  <si>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</si>
  <si>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</si>
  <si>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</si>
  <si>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</si>
  <si>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</si>
  <si>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</si>
  <si>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</si>
  <si>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</si>
  <si>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</si>
  <si>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</si>
  <si>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</si>
  <si>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</si>
  <si>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</si>
  <si>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</si>
  <si>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</si>
  <si>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</si>
  <si>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</si>
  <si>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</si>
  <si>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</si>
  <si>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</si>
  <si>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</si>
  <si>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</si>
  <si>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</si>
  <si>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</si>
  <si>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</si>
  <si>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</si>
  <si>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</si>
  <si>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</si>
  <si>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</si>
  <si>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</si>
  <si>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</si>
  <si>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</si>
  <si>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</si>
  <si>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</si>
  <si>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</si>
  <si>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</si>
  <si>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</si>
  <si>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</si>
  <si>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</si>
  <si>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</si>
  <si>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</si>
  <si>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</si>
  <si>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</si>
  <si>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</si>
  <si>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</si>
  <si>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</si>
  <si>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</si>
  <si>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</si>
  <si>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</si>
  <si>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</si>
  <si>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</si>
  <si>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</si>
  <si>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</si>
  <si>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</si>
  <si>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</si>
  <si>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</si>
  <si>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</si>
  <si>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</si>
  <si>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</si>
  <si>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</si>
  <si>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</si>
  <si>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</si>
  <si>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</si>
  <si>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</si>
  <si>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</si>
  <si>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</si>
  <si>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</si>
  <si>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</si>
  <si>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</si>
  <si>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</si>
  <si>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</si>
  <si>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</si>
  <si>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</si>
  <si>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</si>
  <si>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</si>
  <si>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</si>
  <si>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</si>
  <si>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</si>
  <si>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</si>
  <si>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</si>
  <si>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</si>
  <si>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</si>
  <si>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</si>
  <si>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</si>
  <si>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</si>
  <si>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</si>
  <si>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</si>
  <si>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</si>
  <si>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</si>
  <si>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</si>
  <si>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</si>
  <si>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</si>
  <si>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</si>
  <si>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</si>
  <si>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</si>
  <si>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</si>
  <si>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</si>
  <si>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</si>
  <si>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</si>
  <si>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</si>
  <si>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</si>
  <si>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</si>
  <si>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</si>
  <si>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</si>
  <si>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</si>
  <si>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</si>
  <si>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</si>
  <si>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</si>
  <si>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</si>
  <si>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</si>
  <si>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</si>
  <si>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</si>
  <si>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</si>
  <si>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</si>
  <si>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</si>
  <si>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</si>
  <si>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</si>
  <si>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</si>
  <si>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</si>
  <si>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</si>
  <si>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</si>
  <si>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</si>
  <si>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</si>
  <si>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</si>
  <si>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</si>
  <si>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</si>
  <si>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</si>
  <si>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</si>
  <si>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</si>
  <si>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</si>
  <si>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</si>
  <si>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</si>
  <si>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</si>
  <si>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</si>
  <si>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</si>
  <si>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</si>
  <si>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</si>
  <si>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</si>
  <si>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</si>
  <si>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</si>
  <si>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</si>
  <si>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</si>
  <si>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</si>
  <si>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</si>
  <si>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</si>
  <si>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</si>
  <si>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</si>
  <si>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</si>
  <si>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</si>
  <si>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</si>
  <si>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</si>
  <si>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</si>
  <si>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</si>
  <si>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</si>
  <si>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</si>
  <si>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</si>
  <si>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</si>
  <si>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</si>
  <si>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</si>
  <si>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</si>
  <si>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</si>
  <si>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</si>
  <si>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</si>
  <si>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</si>
  <si>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</si>
  <si>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</si>
  <si>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</si>
  <si>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</si>
  <si>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</si>
  <si>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</si>
  <si>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</si>
  <si>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</si>
  <si>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</si>
  <si>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</si>
  <si>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</si>
  <si>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</si>
  <si>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</si>
  <si>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</si>
  <si>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</si>
  <si>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</si>
  <si>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</si>
  <si>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</si>
  <si>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</si>
  <si>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</si>
  <si>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</si>
  <si>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</si>
  <si>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</si>
  <si>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</si>
  <si>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</si>
  <si>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</si>
  <si>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</si>
  <si>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</si>
  <si>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</si>
  <si>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</si>
  <si>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</si>
  <si>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</si>
  <si>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</si>
  <si>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</si>
  <si>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</si>
  <si>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</si>
  <si>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</si>
  <si>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</si>
  <si>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</si>
  <si>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</si>
  <si>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</si>
  <si>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</si>
  <si>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</si>
  <si>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</si>
  <si>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</si>
  <si>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</si>
  <si>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</si>
  <si>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</si>
  <si>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</si>
  <si>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</si>
  <si>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</si>
  <si>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</si>
  <si>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</si>
  <si>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</si>
  <si>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</si>
  <si>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</si>
  <si>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</si>
  <si>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</si>
  <si>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</si>
  <si>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</si>
  <si>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</si>
  <si>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</si>
  <si>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</si>
  <si>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</si>
  <si>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</si>
  <si>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</si>
  <si>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</si>
  <si>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</si>
  <si>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</si>
  <si>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</si>
  <si>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</si>
  <si>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</si>
  <si>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</si>
  <si>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</si>
  <si>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</si>
  <si>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</si>
  <si>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</si>
  <si>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</si>
  <si>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</si>
  <si>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</si>
  <si>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</si>
  <si>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</si>
  <si>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</si>
  <si>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</si>
  <si>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</si>
  <si>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</si>
  <si>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</si>
  <si>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</si>
  <si>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</si>
  <si>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</si>
  <si>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</si>
  <si>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</si>
  <si>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</si>
  <si>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</si>
  <si>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</si>
  <si>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</si>
  <si>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</si>
  <si>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</si>
  <si>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</si>
  <si>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</si>
  <si>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</si>
  <si>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</si>
  <si>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</si>
  <si>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</si>
  <si>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</si>
  <si>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</si>
  <si>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</si>
  <si>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</si>
  <si>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</si>
  <si>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</si>
  <si>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</si>
  <si>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</si>
  <si>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</si>
  <si>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</si>
  <si>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</si>
  <si>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</si>
  <si>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</si>
  <si>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</si>
  <si>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</si>
  <si>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</si>
  <si>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</si>
  <si>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</si>
  <si>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</si>
  <si>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</si>
  <si>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</si>
  <si>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</si>
  <si>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</si>
  <si>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</si>
  <si>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</si>
  <si>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</si>
  <si>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</si>
  <si>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</si>
  <si>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</si>
  <si>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</si>
  <si>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</si>
  <si>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</si>
  <si>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</si>
  <si>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</si>
  <si>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</si>
  <si>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</si>
  <si>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</si>
  <si>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</si>
  <si>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</si>
  <si>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</si>
  <si>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</si>
  <si>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</si>
  <si>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</si>
  <si>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</si>
  <si>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</si>
  <si>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</si>
  <si>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</si>
  <si>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</si>
  <si>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</si>
  <si>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</si>
  <si>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</si>
  <si>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</si>
  <si>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</si>
  <si>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</si>
  <si>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</si>
  <si>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</si>
  <si>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</si>
  <si>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</si>
  <si>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</si>
  <si>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</si>
  <si>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</si>
  <si>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</si>
  <si>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</si>
  <si>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</si>
  <si>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</si>
  <si>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</si>
  <si>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</si>
  <si>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</si>
  <si>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</si>
  <si>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</si>
  <si>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</si>
  <si>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</si>
  <si>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</si>
  <si>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</si>
  <si>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</si>
  <si>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</si>
  <si>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</si>
  <si>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</si>
  <si>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</si>
  <si>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</si>
  <si>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</si>
  <si>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</si>
  <si>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</si>
  <si>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</si>
  <si>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</si>
  <si>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</si>
  <si>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</si>
  <si>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</si>
  <si>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</si>
  <si>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</si>
  <si>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</si>
  <si>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</si>
  <si>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</si>
  <si>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</si>
  <si>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</si>
  <si>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</si>
  <si>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</si>
  <si>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</si>
  <si>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</si>
  <si>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</si>
  <si>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</si>
  <si>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</si>
  <si>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</si>
  <si>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</si>
  <si>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</si>
  <si>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</si>
  <si>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</si>
  <si>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</si>
  <si>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</si>
  <si>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</si>
  <si>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</si>
  <si>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</si>
  <si>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</si>
  <si>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</si>
  <si>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</si>
  <si>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</si>
  <si>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</si>
  <si>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</si>
  <si>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</si>
  <si>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</si>
  <si>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</si>
  <si>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</si>
  <si>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</si>
  <si>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</si>
  <si>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</si>
  <si>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</si>
  <si>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</si>
  <si>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</si>
  <si>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</si>
  <si>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</si>
  <si>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</si>
  <si>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</si>
  <si>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</si>
  <si>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</si>
  <si>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</si>
  <si>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</si>
  <si>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</si>
  <si>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</si>
  <si>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</si>
  <si>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</si>
  <si>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</si>
  <si>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</si>
  <si>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</si>
  <si>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</si>
  <si>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</si>
  <si>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</si>
  <si>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</si>
  <si>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</si>
  <si>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</si>
  <si>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</si>
  <si>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</si>
  <si>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</si>
  <si>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</si>
  <si>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</si>
  <si>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</si>
  <si>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</si>
  <si>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</si>
  <si>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</si>
  <si>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</si>
  <si>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</si>
  <si>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</si>
  <si>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</si>
  <si>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</si>
  <si>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</si>
  <si>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</si>
  <si>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</si>
  <si>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</si>
  <si>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</si>
  <si>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</si>
  <si>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</si>
  <si>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</si>
  <si>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</si>
  <si>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</si>
  <si>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</si>
  <si>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</si>
  <si>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</si>
  <si>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</si>
  <si>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</si>
  <si>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</si>
  <si>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</si>
  <si>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</si>
  <si>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</si>
  <si>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</si>
  <si>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</si>
  <si>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</si>
  <si>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</si>
  <si>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</si>
  <si>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</si>
  <si>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</si>
  <si>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</si>
  <si>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</si>
  <si>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</si>
  <si>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</si>
  <si>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</si>
  <si>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</si>
  <si>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</si>
  <si>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</si>
  <si>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</si>
  <si>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</si>
  <si>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</si>
  <si>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</si>
  <si>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</si>
  <si>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</si>
  <si>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</si>
  <si>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</si>
  <si>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</si>
  <si>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</si>
  <si>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</si>
  <si>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</si>
  <si>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</si>
  <si>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</si>
  <si>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</si>
  <si>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</si>
  <si>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</si>
  <si>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</si>
  <si>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</si>
  <si>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</si>
  <si>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</si>
  <si>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</si>
  <si>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</si>
  <si>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</si>
  <si>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</si>
  <si>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</si>
  <si>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</si>
  <si>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</si>
  <si>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</si>
  <si>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</si>
  <si>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</si>
  <si>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</si>
  <si>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</si>
  <si>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</si>
  <si>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</si>
  <si>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</si>
  <si>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</si>
  <si>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</si>
  <si>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</si>
  <si>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</si>
  <si>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</si>
  <si>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</si>
  <si>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</si>
  <si>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</si>
  <si>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</si>
  <si>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</si>
  <si>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</si>
  <si>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</si>
  <si>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</si>
  <si>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</si>
  <si>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</si>
  <si>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</si>
  <si>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</si>
  <si>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</si>
  <si>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</si>
  <si>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</si>
  <si>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</si>
  <si>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</si>
  <si>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</si>
  <si>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</si>
  <si>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</si>
  <si>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</si>
  <si>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</si>
  <si>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</si>
  <si>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</si>
  <si>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</si>
  <si>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</si>
  <si>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</si>
  <si>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</si>
  <si>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</si>
  <si>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</si>
  <si>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</si>
  <si>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</si>
  <si>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</si>
  <si>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</si>
  <si>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</si>
  <si>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</si>
  <si>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</si>
  <si>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</si>
  <si>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</si>
  <si>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</si>
  <si>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</si>
  <si>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</si>
  <si>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</si>
  <si>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</si>
  <si>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</si>
  <si>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</si>
  <si>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</si>
  <si>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</si>
  <si>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</si>
  <si>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</si>
  <si>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</si>
  <si>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</si>
  <si>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</si>
  <si>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</si>
  <si>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</si>
  <si>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</si>
  <si>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</si>
  <si>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</si>
  <si>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</si>
  <si>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</si>
  <si>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</si>
  <si>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</si>
  <si>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</si>
  <si>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</si>
  <si>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</si>
  <si>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</si>
  <si>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</si>
  <si>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</si>
  <si>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</si>
  <si>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</si>
  <si>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</si>
  <si>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</si>
  <si>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</si>
  <si>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</si>
  <si>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</si>
  <si>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</si>
  <si>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</si>
  <si>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</si>
  <si>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</si>
  <si>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</si>
  <si>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</si>
  <si>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</si>
  <si>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</si>
  <si>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</si>
  <si>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</si>
  <si>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</si>
  <si>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</si>
  <si>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</si>
  <si>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</si>
  <si>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</si>
  <si>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</si>
  <si>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</si>
  <si>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</si>
  <si>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</si>
  <si>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</si>
  <si>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</si>
  <si>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</si>
  <si>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</si>
  <si>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</si>
  <si>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</si>
  <si>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</si>
  <si>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</si>
  <si>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</si>
  <si>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</si>
  <si>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</si>
  <si>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</si>
  <si>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</si>
  <si>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</si>
  <si>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</si>
  <si>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</si>
  <si>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</si>
  <si>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</si>
  <si>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</si>
  <si>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</si>
  <si>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</si>
  <si>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</si>
  <si>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</si>
  <si>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</si>
  <si>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</si>
  <si>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</si>
  <si>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</si>
  <si>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</si>
  <si>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</si>
  <si>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</si>
  <si>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</si>
  <si>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</si>
  <si>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</si>
  <si>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</si>
  <si>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</si>
  <si>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</si>
  <si>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</si>
  <si>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</si>
  <si>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</si>
  <si>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</si>
  <si>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</si>
  <si>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</si>
  <si>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</si>
  <si>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</si>
  <si>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</si>
  <si>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</si>
  <si>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</si>
  <si>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</si>
  <si>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</si>
  <si>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</si>
  <si>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</si>
  <si>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</si>
  <si>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</si>
  <si>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</si>
  <si>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</si>
  <si>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</si>
  <si>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</si>
  <si>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</si>
  <si>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</si>
  <si>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</si>
  <si>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</si>
  <si>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</si>
  <si>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</si>
  <si>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</si>
  <si>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</si>
  <si>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</si>
  <si>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</si>
  <si>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</si>
  <si>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</si>
  <si>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</si>
  <si>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</si>
  <si>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</si>
  <si>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</si>
  <si>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</si>
  <si>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</si>
  <si>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</si>
  <si>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</si>
  <si>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</si>
  <si>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</si>
  <si>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</si>
  <si>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</si>
  <si>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</si>
  <si>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</si>
  <si>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</si>
  <si>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</si>
  <si>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</si>
  <si>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</si>
  <si>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</si>
  <si>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</si>
  <si>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</si>
  <si>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</si>
  <si>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</si>
  <si>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</si>
  <si>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</si>
  <si>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</si>
  <si>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</si>
  <si>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</si>
  <si>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</si>
  <si>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</si>
  <si>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</si>
  <si>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</si>
  <si>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</si>
  <si>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</si>
  <si>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</si>
  <si>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</si>
  <si>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</si>
  <si>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</si>
  <si>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</si>
  <si>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</si>
  <si>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</si>
  <si>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</si>
  <si>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</si>
  <si>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</si>
  <si>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</si>
  <si>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</si>
  <si>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</si>
  <si>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</si>
  <si>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</si>
  <si>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</si>
  <si>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</si>
  <si>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</si>
  <si>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</si>
  <si>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</si>
  <si>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</si>
  <si>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</si>
  <si>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</si>
  <si>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</si>
  <si>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</si>
  <si>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</si>
  <si>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</si>
  <si>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</si>
  <si>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</si>
  <si>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</si>
  <si>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</si>
  <si>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</si>
  <si>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</si>
  <si>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</si>
  <si>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</si>
  <si>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</si>
  <si>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</si>
  <si>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</si>
  <si>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</si>
  <si>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</si>
  <si>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</si>
  <si>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</si>
  <si>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</si>
  <si>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</si>
  <si>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</si>
  <si>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</si>
  <si>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</si>
  <si>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</si>
  <si>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</si>
  <si>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</si>
  <si>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</si>
  <si>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</si>
  <si>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</si>
  <si>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</si>
  <si>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</si>
  <si>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</si>
  <si>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</si>
  <si>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</si>
  <si>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</si>
  <si>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</si>
  <si>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</si>
  <si>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</si>
  <si>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</si>
  <si>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</si>
  <si>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</si>
  <si>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</si>
  <si>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</si>
  <si>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</si>
  <si>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</si>
  <si>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</si>
  <si>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</si>
  <si>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</si>
  <si>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</si>
  <si>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</si>
  <si>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</si>
  <si>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</si>
  <si>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</si>
  <si>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</si>
  <si>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</si>
  <si>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</si>
  <si>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</si>
  <si>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</si>
  <si>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</si>
  <si>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</si>
  <si>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</si>
  <si>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</si>
  <si>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</si>
  <si>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</si>
  <si>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</si>
  <si>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</si>
  <si>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</si>
  <si>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</si>
  <si>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</si>
  <si>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</si>
  <si>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</si>
  <si>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</si>
  <si>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</si>
  <si>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</si>
  <si>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</si>
  <si>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</si>
  <si>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</si>
  <si>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</si>
  <si>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</si>
  <si>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</si>
  <si>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</si>
  <si>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</si>
  <si>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</si>
  <si>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</si>
  <si>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</si>
  <si>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</si>
  <si>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</si>
  <si>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</si>
  <si>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</si>
  <si>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</si>
  <si>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</si>
  <si>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</si>
  <si>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</si>
  <si>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</si>
  <si>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</si>
  <si>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</si>
  <si>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</si>
  <si>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</si>
  <si>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</si>
  <si>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</si>
  <si>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</si>
  <si>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</si>
  <si>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</si>
  <si>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</si>
  <si>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</si>
  <si>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</si>
  <si>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</si>
  <si>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</si>
  <si>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</si>
  <si>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</si>
  <si>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</si>
  <si>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</si>
  <si>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</si>
  <si>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</si>
  <si>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</si>
  <si>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</si>
  <si>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</si>
  <si>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</si>
  <si>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</si>
  <si>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</si>
  <si>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</si>
  <si>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</si>
  <si>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</si>
  <si>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</si>
  <si>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</si>
  <si>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</si>
  <si>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</si>
  <si>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</si>
  <si>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</si>
  <si>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</si>
  <si>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</si>
  <si>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</si>
  <si>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</si>
  <si>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</si>
  <si>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</si>
  <si>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</si>
  <si>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</si>
  <si>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</si>
  <si>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</si>
  <si>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</si>
  <si>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</si>
  <si>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</si>
  <si>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</si>
  <si>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</si>
  <si>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</si>
  <si>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</si>
  <si>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</si>
  <si>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</si>
  <si>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</si>
  <si>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71057</t>
  </si>
  <si>
    <t>TESSENDERLO</t>
  </si>
  <si>
    <t>Paarden&amp;pony's 200 - 600 kg</t>
  </si>
  <si>
    <t>Paarden&amp;pony's &lt; 200 kg</t>
  </si>
  <si>
    <t>Fluvius</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</si>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</sst>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167901.3963370038</c:v>
                </c:pt>
                <c:pt idx="1">
                  <c:v>54949.505827816298</c:v>
                </c:pt>
                <c:pt idx="2">
                  <c:v>1450.7</c:v>
                </c:pt>
                <c:pt idx="3">
                  <c:v>4496.0039901645177</c:v>
                </c:pt>
                <c:pt idx="4">
                  <c:v>174883.94527436187</c:v>
                </c:pt>
                <c:pt idx="5">
                  <c:v>138903.5035663076</c:v>
                </c:pt>
                <c:pt idx="6">
                  <c:v>2046.0427547809318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167901.3963370038</c:v>
                </c:pt>
                <c:pt idx="1">
                  <c:v>54949.505827816298</c:v>
                </c:pt>
                <c:pt idx="2">
                  <c:v>1450.7</c:v>
                </c:pt>
                <c:pt idx="3">
                  <c:v>4496.0039901645177</c:v>
                </c:pt>
                <c:pt idx="4">
                  <c:v>174883.94527436187</c:v>
                </c:pt>
                <c:pt idx="5">
                  <c:v>138903.5035663076</c:v>
                </c:pt>
                <c:pt idx="6">
                  <c:v>2046.0427547809318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33425.823898870141</c:v>
                </c:pt>
                <c:pt idx="2">
                  <c:v>10484.804342815149</c:v>
                </c:pt>
                <c:pt idx="3">
                  <c:v>275.34793232838371</c:v>
                </c:pt>
                <c:pt idx="4">
                  <c:v>1118.4133745570227</c:v>
                </c:pt>
                <c:pt idx="5">
                  <c:v>34390.519941904706</c:v>
                </c:pt>
                <c:pt idx="6">
                  <c:v>34822.241815128778</c:v>
                </c:pt>
                <c:pt idx="7">
                  <c:v>516.75714970706633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33425.823898870141</c:v>
                </c:pt>
                <c:pt idx="2">
                  <c:v>10484.804342815149</c:v>
                </c:pt>
                <c:pt idx="3">
                  <c:v>275.34793232838371</c:v>
                </c:pt>
                <c:pt idx="4">
                  <c:v>1118.4133745570227</c:v>
                </c:pt>
                <c:pt idx="5">
                  <c:v>34390.519941904706</c:v>
                </c:pt>
                <c:pt idx="6">
                  <c:v>34822.241815128778</c:v>
                </c:pt>
                <c:pt idx="7">
                  <c:v>516.75714970706633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71057</v>
      </c>
      <c r="B6" s="391"/>
      <c r="C6" s="392"/>
    </row>
    <row r="7" spans="1:7" s="389" customFormat="1" ht="15.75" customHeight="1">
      <c r="A7" s="393" t="str">
        <f>txtMunicipality</f>
        <v>TESSENDERLO</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0.18980349646955519</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0.18980349646955519</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7578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1590</v>
      </c>
      <c r="C14" s="330"/>
      <c r="D14" s="330"/>
      <c r="E14" s="330"/>
      <c r="F14" s="330"/>
    </row>
    <row r="15" spans="1:6">
      <c r="A15" s="1305" t="s">
        <v>183</v>
      </c>
      <c r="B15" s="1306">
        <v>12</v>
      </c>
      <c r="C15" s="330"/>
      <c r="D15" s="330"/>
      <c r="E15" s="330"/>
      <c r="F15" s="330"/>
    </row>
    <row r="16" spans="1:6">
      <c r="A16" s="1305" t="s">
        <v>6</v>
      </c>
      <c r="B16" s="1306">
        <v>596</v>
      </c>
      <c r="C16" s="330"/>
      <c r="D16" s="330"/>
      <c r="E16" s="330"/>
      <c r="F16" s="330"/>
    </row>
    <row r="17" spans="1:6">
      <c r="A17" s="1305" t="s">
        <v>7</v>
      </c>
      <c r="B17" s="1306">
        <v>180</v>
      </c>
      <c r="C17" s="330"/>
      <c r="D17" s="330"/>
      <c r="E17" s="330"/>
      <c r="F17" s="330"/>
    </row>
    <row r="18" spans="1:6">
      <c r="A18" s="1305" t="s">
        <v>8</v>
      </c>
      <c r="B18" s="1306">
        <v>629</v>
      </c>
      <c r="C18" s="330"/>
      <c r="D18" s="330"/>
      <c r="E18" s="330"/>
      <c r="F18" s="330"/>
    </row>
    <row r="19" spans="1:6">
      <c r="A19" s="1305" t="s">
        <v>9</v>
      </c>
      <c r="B19" s="1306">
        <v>479</v>
      </c>
      <c r="C19" s="330"/>
      <c r="D19" s="330"/>
      <c r="E19" s="330"/>
      <c r="F19" s="330"/>
    </row>
    <row r="20" spans="1:6">
      <c r="A20" s="1305" t="s">
        <v>10</v>
      </c>
      <c r="B20" s="1306">
        <v>350</v>
      </c>
      <c r="C20" s="330"/>
      <c r="D20" s="330"/>
      <c r="E20" s="330"/>
      <c r="F20" s="330"/>
    </row>
    <row r="21" spans="1:6">
      <c r="A21" s="1305" t="s">
        <v>11</v>
      </c>
      <c r="B21" s="1306">
        <v>0</v>
      </c>
      <c r="C21" s="330"/>
      <c r="D21" s="330"/>
      <c r="E21" s="330"/>
      <c r="F21" s="330"/>
    </row>
    <row r="22" spans="1:6">
      <c r="A22" s="1305" t="s">
        <v>12</v>
      </c>
      <c r="B22" s="1306">
        <v>973</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223</v>
      </c>
      <c r="C26" s="330"/>
      <c r="D26" s="330"/>
      <c r="E26" s="330"/>
      <c r="F26" s="330"/>
    </row>
    <row r="27" spans="1:6">
      <c r="A27" s="1305" t="s">
        <v>17</v>
      </c>
      <c r="B27" s="1306">
        <v>144</v>
      </c>
      <c r="C27" s="330"/>
      <c r="D27" s="330"/>
      <c r="E27" s="330"/>
      <c r="F27" s="330"/>
    </row>
    <row r="28" spans="1:6" s="43" customFormat="1">
      <c r="A28" s="1307" t="s">
        <v>18</v>
      </c>
      <c r="B28" s="1308">
        <v>19980</v>
      </c>
      <c r="C28" s="336"/>
      <c r="D28" s="336"/>
      <c r="E28" s="336"/>
      <c r="F28" s="336"/>
    </row>
    <row r="29" spans="1:6">
      <c r="A29" s="1307" t="s">
        <v>909</v>
      </c>
      <c r="B29" s="1308">
        <v>106</v>
      </c>
      <c r="C29" s="336"/>
      <c r="D29" s="336"/>
      <c r="E29" s="336"/>
      <c r="F29" s="336"/>
    </row>
    <row r="30" spans="1:6">
      <c r="A30" s="1300" t="s">
        <v>910</v>
      </c>
      <c r="B30" s="1309">
        <v>30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5</v>
      </c>
      <c r="F35" s="1306">
        <v>623691</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30872</v>
      </c>
      <c r="E38" s="1306">
        <v>2</v>
      </c>
      <c r="F38" s="1306">
        <v>69629</v>
      </c>
    </row>
    <row r="39" spans="1:6">
      <c r="A39" s="1305" t="s">
        <v>29</v>
      </c>
      <c r="B39" s="1305" t="s">
        <v>30</v>
      </c>
      <c r="C39" s="1306">
        <v>3650</v>
      </c>
      <c r="D39" s="1306">
        <v>51792927</v>
      </c>
      <c r="E39" s="1306">
        <v>7826</v>
      </c>
      <c r="F39" s="1306">
        <v>27089953</v>
      </c>
    </row>
    <row r="40" spans="1:6">
      <c r="A40" s="1305" t="s">
        <v>29</v>
      </c>
      <c r="B40" s="1305" t="s">
        <v>28</v>
      </c>
      <c r="C40" s="1306">
        <v>0</v>
      </c>
      <c r="D40" s="1306">
        <v>0</v>
      </c>
      <c r="E40" s="1306">
        <v>0</v>
      </c>
      <c r="F40" s="1306">
        <v>0</v>
      </c>
    </row>
    <row r="41" spans="1:6">
      <c r="A41" s="1305" t="s">
        <v>31</v>
      </c>
      <c r="B41" s="1305" t="s">
        <v>32</v>
      </c>
      <c r="C41" s="1306">
        <v>39</v>
      </c>
      <c r="D41" s="1306">
        <v>831095</v>
      </c>
      <c r="E41" s="1306">
        <v>123</v>
      </c>
      <c r="F41" s="1306">
        <v>2527615</v>
      </c>
    </row>
    <row r="42" spans="1:6">
      <c r="A42" s="1305" t="s">
        <v>31</v>
      </c>
      <c r="B42" s="1305" t="s">
        <v>33</v>
      </c>
      <c r="C42" s="1306">
        <v>0</v>
      </c>
      <c r="D42" s="1306">
        <v>0</v>
      </c>
      <c r="E42" s="1306">
        <v>5</v>
      </c>
      <c r="F42" s="1306">
        <v>5638209</v>
      </c>
    </row>
    <row r="43" spans="1:6">
      <c r="A43" s="1305" t="s">
        <v>31</v>
      </c>
      <c r="B43" s="1305" t="s">
        <v>34</v>
      </c>
      <c r="C43" s="1306">
        <v>0</v>
      </c>
      <c r="D43" s="1306">
        <v>0</v>
      </c>
      <c r="E43" s="1306">
        <v>0</v>
      </c>
      <c r="F43" s="1306">
        <v>0</v>
      </c>
    </row>
    <row r="44" spans="1:6">
      <c r="A44" s="1305" t="s">
        <v>31</v>
      </c>
      <c r="B44" s="1305" t="s">
        <v>35</v>
      </c>
      <c r="C44" s="1306">
        <v>7</v>
      </c>
      <c r="D44" s="1306">
        <v>1502780</v>
      </c>
      <c r="E44" s="1306">
        <v>28</v>
      </c>
      <c r="F44" s="1306">
        <v>24361602</v>
      </c>
    </row>
    <row r="45" spans="1:6">
      <c r="A45" s="1305" t="s">
        <v>31</v>
      </c>
      <c r="B45" s="1305" t="s">
        <v>36</v>
      </c>
      <c r="C45" s="1306">
        <v>0</v>
      </c>
      <c r="D45" s="1306">
        <v>0</v>
      </c>
      <c r="E45" s="1306">
        <v>7</v>
      </c>
      <c r="F45" s="1306">
        <v>102923370</v>
      </c>
    </row>
    <row r="46" spans="1:6">
      <c r="A46" s="1305" t="s">
        <v>31</v>
      </c>
      <c r="B46" s="1305" t="s">
        <v>37</v>
      </c>
      <c r="C46" s="1306">
        <v>0</v>
      </c>
      <c r="D46" s="1306">
        <v>0</v>
      </c>
      <c r="E46" s="1306">
        <v>0</v>
      </c>
      <c r="F46" s="1306">
        <v>0</v>
      </c>
    </row>
    <row r="47" spans="1:6">
      <c r="A47" s="1305" t="s">
        <v>31</v>
      </c>
      <c r="B47" s="1305" t="s">
        <v>38</v>
      </c>
      <c r="C47" s="1306">
        <v>6</v>
      </c>
      <c r="D47" s="1306">
        <v>189655</v>
      </c>
      <c r="E47" s="1306">
        <v>7</v>
      </c>
      <c r="F47" s="1306">
        <v>107470</v>
      </c>
    </row>
    <row r="48" spans="1:6">
      <c r="A48" s="1305" t="s">
        <v>31</v>
      </c>
      <c r="B48" s="1305" t="s">
        <v>28</v>
      </c>
      <c r="C48" s="1306">
        <v>4</v>
      </c>
      <c r="D48" s="1306">
        <v>20636994</v>
      </c>
      <c r="E48" s="1306">
        <v>4</v>
      </c>
      <c r="F48" s="1306">
        <v>636966</v>
      </c>
    </row>
    <row r="49" spans="1:6">
      <c r="A49" s="1305" t="s">
        <v>31</v>
      </c>
      <c r="B49" s="1305" t="s">
        <v>39</v>
      </c>
      <c r="C49" s="1306">
        <v>0</v>
      </c>
      <c r="D49" s="1306">
        <v>0</v>
      </c>
      <c r="E49" s="1306">
        <v>0</v>
      </c>
      <c r="F49" s="1306">
        <v>0</v>
      </c>
    </row>
    <row r="50" spans="1:6">
      <c r="A50" s="1305" t="s">
        <v>31</v>
      </c>
      <c r="B50" s="1305" t="s">
        <v>40</v>
      </c>
      <c r="C50" s="1306">
        <v>5</v>
      </c>
      <c r="D50" s="1306">
        <v>374551</v>
      </c>
      <c r="E50" s="1306">
        <v>14</v>
      </c>
      <c r="F50" s="1306">
        <v>470664</v>
      </c>
    </row>
    <row r="51" spans="1:6">
      <c r="A51" s="1305" t="s">
        <v>41</v>
      </c>
      <c r="B51" s="1305" t="s">
        <v>42</v>
      </c>
      <c r="C51" s="1306">
        <v>5</v>
      </c>
      <c r="D51" s="1306">
        <v>92337</v>
      </c>
      <c r="E51" s="1306">
        <v>30</v>
      </c>
      <c r="F51" s="1306">
        <v>1192702</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95</v>
      </c>
      <c r="F54" s="1306">
        <v>1450700</v>
      </c>
    </row>
    <row r="55" spans="1:6">
      <c r="A55" s="1305" t="s">
        <v>45</v>
      </c>
      <c r="B55" s="1305" t="s">
        <v>28</v>
      </c>
      <c r="C55" s="1306">
        <v>0</v>
      </c>
      <c r="D55" s="1306">
        <v>0</v>
      </c>
      <c r="E55" s="1306">
        <v>0</v>
      </c>
      <c r="F55" s="1306">
        <v>0</v>
      </c>
    </row>
    <row r="56" spans="1:6">
      <c r="A56" s="1305" t="s">
        <v>47</v>
      </c>
      <c r="B56" s="1305" t="s">
        <v>28</v>
      </c>
      <c r="C56" s="1306">
        <v>44</v>
      </c>
      <c r="D56" s="1306">
        <v>766627</v>
      </c>
      <c r="E56" s="1306">
        <v>185</v>
      </c>
      <c r="F56" s="1306">
        <v>1081848</v>
      </c>
    </row>
    <row r="57" spans="1:6">
      <c r="A57" s="1305" t="s">
        <v>48</v>
      </c>
      <c r="B57" s="1305" t="s">
        <v>49</v>
      </c>
      <c r="C57" s="1306">
        <v>57</v>
      </c>
      <c r="D57" s="1306">
        <v>5116186</v>
      </c>
      <c r="E57" s="1306">
        <v>145</v>
      </c>
      <c r="F57" s="1306">
        <v>3525965</v>
      </c>
    </row>
    <row r="58" spans="1:6">
      <c r="A58" s="1305" t="s">
        <v>48</v>
      </c>
      <c r="B58" s="1305" t="s">
        <v>50</v>
      </c>
      <c r="C58" s="1306">
        <v>24</v>
      </c>
      <c r="D58" s="1306">
        <v>2545660</v>
      </c>
      <c r="E58" s="1306">
        <v>37</v>
      </c>
      <c r="F58" s="1306">
        <v>1818281</v>
      </c>
    </row>
    <row r="59" spans="1:6">
      <c r="A59" s="1305" t="s">
        <v>48</v>
      </c>
      <c r="B59" s="1305" t="s">
        <v>51</v>
      </c>
      <c r="C59" s="1306">
        <v>103</v>
      </c>
      <c r="D59" s="1306">
        <v>4820810</v>
      </c>
      <c r="E59" s="1306">
        <v>245</v>
      </c>
      <c r="F59" s="1306">
        <v>10020791</v>
      </c>
    </row>
    <row r="60" spans="1:6">
      <c r="A60" s="1305" t="s">
        <v>48</v>
      </c>
      <c r="B60" s="1305" t="s">
        <v>52</v>
      </c>
      <c r="C60" s="1306">
        <v>48</v>
      </c>
      <c r="D60" s="1306">
        <v>2282920</v>
      </c>
      <c r="E60" s="1306">
        <v>74</v>
      </c>
      <c r="F60" s="1306">
        <v>2314238</v>
      </c>
    </row>
    <row r="61" spans="1:6">
      <c r="A61" s="1305" t="s">
        <v>48</v>
      </c>
      <c r="B61" s="1305" t="s">
        <v>53</v>
      </c>
      <c r="C61" s="1306">
        <v>113</v>
      </c>
      <c r="D61" s="1306">
        <v>6694831</v>
      </c>
      <c r="E61" s="1306">
        <v>312</v>
      </c>
      <c r="F61" s="1306">
        <v>9497942</v>
      </c>
    </row>
    <row r="62" spans="1:6">
      <c r="A62" s="1305" t="s">
        <v>48</v>
      </c>
      <c r="B62" s="1305" t="s">
        <v>54</v>
      </c>
      <c r="C62" s="1306">
        <v>11</v>
      </c>
      <c r="D62" s="1306">
        <v>1104129</v>
      </c>
      <c r="E62" s="1306">
        <v>14</v>
      </c>
      <c r="F62" s="1306">
        <v>481094</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34656</v>
      </c>
      <c r="E65" s="1306">
        <v>3</v>
      </c>
      <c r="F65" s="1306">
        <v>16572</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9</v>
      </c>
      <c r="D68" s="1309">
        <v>444998</v>
      </c>
      <c r="E68" s="1309">
        <v>22</v>
      </c>
      <c r="F68" s="1309">
        <v>3528067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45371489</v>
      </c>
      <c r="E73" s="450"/>
      <c r="F73" s="330"/>
    </row>
    <row r="74" spans="1:6">
      <c r="A74" s="1305" t="s">
        <v>63</v>
      </c>
      <c r="B74" s="1305" t="s">
        <v>710</v>
      </c>
      <c r="C74" s="1319" t="s">
        <v>712</v>
      </c>
      <c r="D74" s="1320">
        <v>2939270.4809765629</v>
      </c>
      <c r="E74" s="450"/>
      <c r="F74" s="330"/>
    </row>
    <row r="75" spans="1:6">
      <c r="A75" s="1305" t="s">
        <v>64</v>
      </c>
      <c r="B75" s="1305" t="s">
        <v>709</v>
      </c>
      <c r="C75" s="1319" t="s">
        <v>713</v>
      </c>
      <c r="D75" s="1320">
        <v>42240129</v>
      </c>
      <c r="E75" s="450"/>
      <c r="F75" s="330"/>
    </row>
    <row r="76" spans="1:6">
      <c r="A76" s="1305" t="s">
        <v>64</v>
      </c>
      <c r="B76" s="1305" t="s">
        <v>710</v>
      </c>
      <c r="C76" s="1319" t="s">
        <v>714</v>
      </c>
      <c r="D76" s="1320">
        <v>1258543.4809765629</v>
      </c>
      <c r="E76" s="450"/>
      <c r="F76" s="330"/>
    </row>
    <row r="77" spans="1:6">
      <c r="A77" s="1305" t="s">
        <v>65</v>
      </c>
      <c r="B77" s="1305" t="s">
        <v>709</v>
      </c>
      <c r="C77" s="1319" t="s">
        <v>715</v>
      </c>
      <c r="D77" s="1320">
        <v>47571600</v>
      </c>
      <c r="E77" s="450"/>
      <c r="F77" s="330"/>
    </row>
    <row r="78" spans="1:6">
      <c r="A78" s="1300" t="s">
        <v>65</v>
      </c>
      <c r="B78" s="1300" t="s">
        <v>710</v>
      </c>
      <c r="C78" s="1300" t="s">
        <v>716</v>
      </c>
      <c r="D78" s="1321">
        <v>10482150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549363.03804687399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19271.346907650841</v>
      </c>
      <c r="C90" s="330"/>
      <c r="D90" s="330"/>
      <c r="E90" s="330"/>
      <c r="F90" s="330"/>
    </row>
    <row r="91" spans="1:6">
      <c r="A91" s="1305" t="s">
        <v>67</v>
      </c>
      <c r="B91" s="1306">
        <v>5116.4464029690462</v>
      </c>
      <c r="C91" s="330"/>
      <c r="D91" s="330"/>
      <c r="E91" s="330"/>
      <c r="F91" s="330"/>
    </row>
    <row r="92" spans="1:6">
      <c r="A92" s="1300" t="s">
        <v>68</v>
      </c>
      <c r="B92" s="1301">
        <v>3887.7756802230078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1159</v>
      </c>
      <c r="C97" s="330"/>
      <c r="D97" s="330"/>
      <c r="E97" s="330"/>
      <c r="F97" s="330"/>
    </row>
    <row r="98" spans="1:6">
      <c r="A98" s="1305" t="s">
        <v>71</v>
      </c>
      <c r="B98" s="1306">
        <v>3</v>
      </c>
      <c r="C98" s="330"/>
      <c r="D98" s="330"/>
      <c r="E98" s="330"/>
      <c r="F98" s="330"/>
    </row>
    <row r="99" spans="1:6">
      <c r="A99" s="1305" t="s">
        <v>72</v>
      </c>
      <c r="B99" s="1306">
        <v>69</v>
      </c>
      <c r="C99" s="330"/>
      <c r="D99" s="330"/>
      <c r="E99" s="330"/>
      <c r="F99" s="330"/>
    </row>
    <row r="100" spans="1:6">
      <c r="A100" s="1305" t="s">
        <v>73</v>
      </c>
      <c r="B100" s="1306">
        <v>285</v>
      </c>
      <c r="C100" s="330"/>
      <c r="D100" s="330"/>
      <c r="E100" s="330"/>
      <c r="F100" s="330"/>
    </row>
    <row r="101" spans="1:6">
      <c r="A101" s="1305" t="s">
        <v>74</v>
      </c>
      <c r="B101" s="1306">
        <v>73</v>
      </c>
      <c r="C101" s="330"/>
      <c r="D101" s="330"/>
      <c r="E101" s="330"/>
      <c r="F101" s="330"/>
    </row>
    <row r="102" spans="1:6">
      <c r="A102" s="1305" t="s">
        <v>75</v>
      </c>
      <c r="B102" s="1306">
        <v>75</v>
      </c>
      <c r="C102" s="330"/>
      <c r="D102" s="330"/>
      <c r="E102" s="330"/>
      <c r="F102" s="330"/>
    </row>
    <row r="103" spans="1:6">
      <c r="A103" s="1305" t="s">
        <v>76</v>
      </c>
      <c r="B103" s="1306">
        <v>140</v>
      </c>
      <c r="C103" s="330"/>
      <c r="D103" s="330"/>
      <c r="E103" s="330"/>
      <c r="F103" s="330"/>
    </row>
    <row r="104" spans="1:6">
      <c r="A104" s="1305" t="s">
        <v>77</v>
      </c>
      <c r="B104" s="1306">
        <v>4386</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29</v>
      </c>
      <c r="C123" s="1306">
        <v>39</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354</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27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200295.00128196698</v>
      </c>
      <c r="C3" s="43" t="s">
        <v>169</v>
      </c>
      <c r="D3" s="43"/>
      <c r="E3" s="154"/>
      <c r="F3" s="43"/>
      <c r="G3" s="43"/>
      <c r="H3" s="43"/>
      <c r="I3" s="43"/>
      <c r="J3" s="43"/>
      <c r="K3" s="96"/>
    </row>
    <row r="4" spans="1:11">
      <c r="A4" s="359" t="s">
        <v>170</v>
      </c>
      <c r="B4" s="49">
        <f>IF(ISERROR('SEAP template'!B78+'SEAP template'!C78),0,'SEAP template'!B78+'SEAP template'!C78)</f>
        <v>28299.418990842893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5.6678823529411773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0.18980349646955519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8.0969747899159685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34.071428571428577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1450.7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0.18980349646955519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275.34793232838371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27089.953000000001</v>
      </c>
      <c r="C5" s="17">
        <f>IF(ISERROR('Eigen informatie GS &amp; warmtenet'!B57),0,'Eigen informatie GS &amp; warmtenet'!B57)</f>
        <v>0</v>
      </c>
      <c r="D5" s="30">
        <f>(SUM(HH_hh_gas_kWh,HH_rest_gas_kWh)/1000)*0.902</f>
        <v>46717.220154000002</v>
      </c>
      <c r="E5" s="17">
        <f>B46*B57</f>
        <v>22289.064446146087</v>
      </c>
      <c r="F5" s="17">
        <f>B51*B62</f>
        <v>48001.650124001724</v>
      </c>
      <c r="G5" s="18"/>
      <c r="H5" s="17"/>
      <c r="I5" s="17"/>
      <c r="J5" s="17">
        <f>B50*B61+C50*C61</f>
        <v>0</v>
      </c>
      <c r="K5" s="17"/>
      <c r="L5" s="17"/>
      <c r="M5" s="17"/>
      <c r="N5" s="17">
        <f>B48*B59+C48*C59</f>
        <v>17004.938876553584</v>
      </c>
      <c r="O5" s="17">
        <f>B69*B70*B71</f>
        <v>614.3900000000001</v>
      </c>
      <c r="P5" s="17">
        <f>B77*B78*B79/1000-B77*B78*B79/1000/B80</f>
        <v>1067.7333333333333</v>
      </c>
    </row>
    <row r="6" spans="1:16">
      <c r="A6" s="16" t="s">
        <v>630</v>
      </c>
      <c r="B6" s="763">
        <f>kWh_PV_kleiner_dan_10kW</f>
        <v>5116.4464029690462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32206.399402969048</v>
      </c>
      <c r="C8" s="21">
        <f>C5</f>
        <v>0</v>
      </c>
      <c r="D8" s="21">
        <f>D5</f>
        <v>46717.220154000002</v>
      </c>
      <c r="E8" s="21">
        <f>E5</f>
        <v>22289.064446146087</v>
      </c>
      <c r="F8" s="21">
        <f>F5</f>
        <v>48001.650124001724</v>
      </c>
      <c r="G8" s="21"/>
      <c r="H8" s="21"/>
      <c r="I8" s="21"/>
      <c r="J8" s="21">
        <f>J5</f>
        <v>0</v>
      </c>
      <c r="K8" s="21"/>
      <c r="L8" s="21">
        <f>L5</f>
        <v>0</v>
      </c>
      <c r="M8" s="21">
        <f>M5</f>
        <v>0</v>
      </c>
      <c r="N8" s="21">
        <f>N5</f>
        <v>17004.938876553584</v>
      </c>
      <c r="O8" s="21">
        <f>O5</f>
        <v>614.3900000000001</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0.18980349646955519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6112.8872153785196</v>
      </c>
      <c r="C12" s="23">
        <f ca="1">C10*C8</f>
        <v>0</v>
      </c>
      <c r="D12" s="23">
        <f>D8*D10</f>
        <v>9436.8784711080007</v>
      </c>
      <c r="E12" s="23">
        <f>E10*E8</f>
        <v>5059.6176292751616</v>
      </c>
      <c r="F12" s="23">
        <f>F10*F8</f>
        <v>12816.44058310846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1159</v>
      </c>
      <c r="C18" s="166" t="s">
        <v>110</v>
      </c>
      <c r="D18" s="228"/>
      <c r="E18" s="15"/>
    </row>
    <row r="19" spans="1:7">
      <c r="A19" s="171" t="s">
        <v>71</v>
      </c>
      <c r="B19" s="37">
        <f>aantalw2001_ander</f>
        <v>3</v>
      </c>
      <c r="C19" s="166" t="s">
        <v>110</v>
      </c>
      <c r="D19" s="229"/>
      <c r="E19" s="15"/>
    </row>
    <row r="20" spans="1:7">
      <c r="A20" s="171" t="s">
        <v>72</v>
      </c>
      <c r="B20" s="37">
        <f>aantalw2001_propaan</f>
        <v>69</v>
      </c>
      <c r="C20" s="167">
        <f>IF(ISERROR(B20/SUM($B$20,$B$21,$B$22)*100),0,B20/SUM($B$20,$B$21,$B$22)*100)</f>
        <v>16.159250585480095</v>
      </c>
      <c r="D20" s="229"/>
      <c r="E20" s="15"/>
    </row>
    <row r="21" spans="1:7">
      <c r="A21" s="171" t="s">
        <v>73</v>
      </c>
      <c r="B21" s="37">
        <f>aantalw2001_elektriciteit</f>
        <v>285</v>
      </c>
      <c r="C21" s="167">
        <f>IF(ISERROR(B21/SUM($B$20,$B$21,$B$22)*100),0,B21/SUM($B$20,$B$21,$B$22)*100)</f>
        <v>66.744730679156902</v>
      </c>
      <c r="D21" s="229"/>
      <c r="E21" s="15"/>
    </row>
    <row r="22" spans="1:7">
      <c r="A22" s="171" t="s">
        <v>74</v>
      </c>
      <c r="B22" s="37">
        <f>aantalw2001_hout</f>
        <v>73</v>
      </c>
      <c r="C22" s="167">
        <f>IF(ISERROR(B22/SUM($B$20,$B$21,$B$22)*100),0,B22/SUM($B$20,$B$21,$B$22)*100)</f>
        <v>17.096018735362996</v>
      </c>
      <c r="D22" s="229"/>
      <c r="E22" s="15"/>
    </row>
    <row r="23" spans="1:7">
      <c r="A23" s="171" t="s">
        <v>75</v>
      </c>
      <c r="B23" s="37">
        <f>aantalw2001_niet_gespec</f>
        <v>75</v>
      </c>
      <c r="C23" s="166" t="s">
        <v>110</v>
      </c>
      <c r="D23" s="228"/>
      <c r="E23" s="15"/>
    </row>
    <row r="24" spans="1:7">
      <c r="A24" s="171" t="s">
        <v>76</v>
      </c>
      <c r="B24" s="37">
        <f>aantalw2001_steenkool</f>
        <v>140</v>
      </c>
      <c r="C24" s="166" t="s">
        <v>110</v>
      </c>
      <c r="D24" s="229"/>
      <c r="E24" s="15"/>
    </row>
    <row r="25" spans="1:7">
      <c r="A25" s="171" t="s">
        <v>77</v>
      </c>
      <c r="B25" s="37">
        <f>aantalw2001_stookolie</f>
        <v>4386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7578</v>
      </c>
      <c r="C28" s="36"/>
      <c r="D28" s="228"/>
    </row>
    <row r="29" spans="1:7" s="15" customFormat="1">
      <c r="A29" s="230" t="s">
        <v>737</v>
      </c>
      <c r="B29" s="37">
        <f>SUM(HH_hh_gas_aantal,HH_rest_gas_aantal)</f>
        <v>3650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3650</v>
      </c>
      <c r="C32" s="167">
        <f>IF(ISERROR(B32/SUM($B$32,$B$34,$B$35,$B$36,$B$38,$B$39)*100),0,B32/SUM($B$32,$B$34,$B$35,$B$36,$B$38,$B$39)*100)</f>
        <v>48.524328636001066</v>
      </c>
      <c r="D32" s="233"/>
      <c r="G32" s="15"/>
    </row>
    <row r="33" spans="1:7">
      <c r="A33" s="171" t="s">
        <v>71</v>
      </c>
      <c r="B33" s="34" t="s">
        <v>110</v>
      </c>
      <c r="C33" s="167"/>
      <c r="D33" s="233"/>
      <c r="G33" s="15"/>
    </row>
    <row r="34" spans="1:7">
      <c r="A34" s="171" t="s">
        <v>72</v>
      </c>
      <c r="B34" s="33">
        <f>IF((($B$28-$B$32-$B$39-$B$77-$B$38)*C20/100)&lt;0,0,($B$28-$B$32-$B$39-$B$77-$B$38)*C20/100)</f>
        <v>279.21569086651056</v>
      </c>
      <c r="C34" s="167">
        <f>IF(ISERROR(B34/SUM($B$32,$B$34,$B$35,$B$36,$B$38,$B$39)*100),0,B34/SUM($B$32,$B$34,$B$35,$B$36,$B$38,$B$39)*100)</f>
        <v>3.7119873818999012</v>
      </c>
      <c r="D34" s="233"/>
      <c r="G34" s="15"/>
    </row>
    <row r="35" spans="1:7">
      <c r="A35" s="171" t="s">
        <v>73</v>
      </c>
      <c r="B35" s="33">
        <f>IF((($B$28-$B$32-$B$39-$B$77-$B$38)*C21/100)&lt;0,0,($B$28-$B$32-$B$39-$B$77-$B$38)*C21/100)</f>
        <v>1153.2822014051521</v>
      </c>
      <c r="C35" s="167">
        <f>IF(ISERROR(B35/SUM($B$32,$B$34,$B$35,$B$36,$B$38,$B$39)*100),0,B35/SUM($B$32,$B$34,$B$35,$B$36,$B$38,$B$39)*100)</f>
        <v>15.332121794803937</v>
      </c>
      <c r="D35" s="233"/>
      <c r="G35" s="15"/>
    </row>
    <row r="36" spans="1:7">
      <c r="A36" s="171" t="s">
        <v>74</v>
      </c>
      <c r="B36" s="33">
        <f>IF((($B$28-$B$32-$B$39-$B$77-$B$38)*C22/100)&lt;0,0,($B$28-$B$32-$B$39-$B$77-$B$38)*C22/100)</f>
        <v>295.40210772833723</v>
      </c>
      <c r="C36" s="167">
        <f>IF(ISERROR(B36/SUM($B$32,$B$34,$B$35,$B$36,$B$38,$B$39)*100),0,B36/SUM($B$32,$B$34,$B$35,$B$36,$B$38,$B$39)*100)</f>
        <v>3.9271750562129384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2144.1</v>
      </c>
      <c r="C39" s="167">
        <f>IF(ISERROR(B39/SUM($B$32,$B$34,$B$35,$B$36,$B$38,$B$39)*100),0,B39/SUM($B$32,$B$34,$B$35,$B$36,$B$38,$B$39)*100)</f>
        <v>28.504387131082158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3650</v>
      </c>
      <c r="C44" s="34" t="s">
        <v>110</v>
      </c>
      <c r="D44" s="174"/>
    </row>
    <row r="45" spans="1:7">
      <c r="A45" s="171" t="s">
        <v>71</v>
      </c>
      <c r="B45" s="33" t="str">
        <f t="shared" si="0"/>
        <v>-</v>
      </c>
      <c r="C45" s="34" t="s">
        <v>110</v>
      </c>
      <c r="D45" s="174"/>
    </row>
    <row r="46" spans="1:7">
      <c r="A46" s="171" t="s">
        <v>72</v>
      </c>
      <c r="B46" s="33">
        <f t="shared" si="0"/>
        <v>279.21569086651056</v>
      </c>
      <c r="C46" s="34" t="s">
        <v>110</v>
      </c>
      <c r="D46" s="174"/>
    </row>
    <row r="47" spans="1:7">
      <c r="A47" s="171" t="s">
        <v>73</v>
      </c>
      <c r="B47" s="33">
        <f t="shared" si="0"/>
        <v>1153.2822014051521</v>
      </c>
      <c r="C47" s="34" t="s">
        <v>110</v>
      </c>
      <c r="D47" s="174"/>
    </row>
    <row r="48" spans="1:7">
      <c r="A48" s="171" t="s">
        <v>74</v>
      </c>
      <c r="B48" s="33">
        <f t="shared" si="0"/>
        <v>295.40210772833723</v>
      </c>
      <c r="C48" s="33">
        <f>B48*10</f>
        <v>2954.0210772833725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2144.1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27658.310999999998</v>
      </c>
      <c r="C5" s="17">
        <f>IF(ISERROR('Eigen informatie GS &amp; warmtenet'!B58),0,'Eigen informatie GS &amp; warmtenet'!B58)</f>
        <v>0</v>
      </c>
      <c r="D5" s="30">
        <f>SUM(D6:D12)</f>
        <v>20353.211471999999</v>
      </c>
      <c r="E5" s="17">
        <f>SUM(E6:E12)</f>
        <v>246.15751434416595</v>
      </c>
      <c r="F5" s="17">
        <f>SUM(F6:F12)</f>
        <v>4004.0254847745509</v>
      </c>
      <c r="G5" s="18"/>
      <c r="H5" s="17"/>
      <c r="I5" s="17"/>
      <c r="J5" s="17">
        <f>SUM(J6:J12)</f>
        <v>0</v>
      </c>
      <c r="K5" s="17"/>
      <c r="L5" s="17"/>
      <c r="M5" s="17"/>
      <c r="N5" s="17">
        <f>SUM(N6:N12)</f>
        <v>2675.828451935683</v>
      </c>
      <c r="O5" s="17">
        <f>B38*B39*B40</f>
        <v>3.1266666666666669</v>
      </c>
      <c r="P5" s="17">
        <f>B46*B47*B48/1000-B46*B47*B48/1000/B49</f>
        <v>19.066666666666666</v>
      </c>
      <c r="R5" s="32"/>
    </row>
    <row r="6" spans="1:18">
      <c r="A6" s="32" t="s">
        <v>53</v>
      </c>
      <c r="B6" s="37">
        <f>B26</f>
        <v>9497.9419999999991</v>
      </c>
      <c r="C6" s="33"/>
      <c r="D6" s="37">
        <f>IF(ISERROR(TER_kantoor_gas_kWh/1000),0,TER_kantoor_gas_kWh/1000)*0.902</f>
        <v>6038.7375620000003</v>
      </c>
      <c r="E6" s="33">
        <f>$C$26*'E Balans VL '!I12/100/3.6*1000000</f>
        <v>27.516931519685865</v>
      </c>
      <c r="F6" s="33">
        <f>$C$26*('E Balans VL '!L12+'E Balans VL '!N12)/100/3.6*1000000</f>
        <v>1074.9577785136405</v>
      </c>
      <c r="G6" s="34"/>
      <c r="H6" s="33"/>
      <c r="I6" s="33"/>
      <c r="J6" s="33">
        <f>$C$26*('E Balans VL '!D12+'E Balans VL '!E12)/100/3.6*1000000</f>
        <v>0</v>
      </c>
      <c r="K6" s="33"/>
      <c r="L6" s="33"/>
      <c r="M6" s="33"/>
      <c r="N6" s="33">
        <f>$C$26*'E Balans VL '!Y12/100/3.6*1000000</f>
        <v>95.067401023864647</v>
      </c>
      <c r="O6" s="33"/>
      <c r="P6" s="33"/>
      <c r="R6" s="32"/>
    </row>
    <row r="7" spans="1:18">
      <c r="A7" s="32" t="s">
        <v>52</v>
      </c>
      <c r="B7" s="37">
        <f t="shared" ref="B7:B12" si="0">B27</f>
        <v>2314.2379999999998</v>
      </c>
      <c r="C7" s="33"/>
      <c r="D7" s="37">
        <f>IF(ISERROR(TER_horeca_gas_kWh/1000),0,TER_horeca_gas_kWh/1000)*0.902</f>
        <v>2059.1938399999999</v>
      </c>
      <c r="E7" s="33">
        <f>$C$27*'E Balans VL '!I9/100/3.6*1000000</f>
        <v>97.145245386818033</v>
      </c>
      <c r="F7" s="33">
        <f>$C$27*('E Balans VL '!L9+'E Balans VL '!N9)/100/3.6*1000000</f>
        <v>497.26149221991676</v>
      </c>
      <c r="G7" s="34"/>
      <c r="H7" s="33"/>
      <c r="I7" s="33"/>
      <c r="J7" s="33">
        <f>$C$27*('E Balans VL '!D9+'E Balans VL '!E9)/100/3.6*1000000</f>
        <v>0</v>
      </c>
      <c r="K7" s="33"/>
      <c r="L7" s="33"/>
      <c r="M7" s="33"/>
      <c r="N7" s="33">
        <f>$C$27*'E Balans VL '!Y9/100/3.6*1000000</f>
        <v>0.5963588938544826</v>
      </c>
      <c r="O7" s="33"/>
      <c r="P7" s="33"/>
      <c r="R7" s="32"/>
    </row>
    <row r="8" spans="1:18">
      <c r="A8" s="6" t="s">
        <v>51</v>
      </c>
      <c r="B8" s="37">
        <f t="shared" si="0"/>
        <v>10020.790999999999</v>
      </c>
      <c r="C8" s="33"/>
      <c r="D8" s="37">
        <f>IF(ISERROR(TER_handel_gas_kWh/1000),0,TER_handel_gas_kWh/1000)*0.902</f>
        <v>4348.3706200000006</v>
      </c>
      <c r="E8" s="33">
        <f>$C$28*'E Balans VL '!I13/100/3.6*1000000</f>
        <v>107.63163540726961</v>
      </c>
      <c r="F8" s="33">
        <f>$C$28*('E Balans VL '!L13+'E Balans VL '!N13)/100/3.6*1000000</f>
        <v>1297.274144936204</v>
      </c>
      <c r="G8" s="34"/>
      <c r="H8" s="33"/>
      <c r="I8" s="33"/>
      <c r="J8" s="33">
        <f>$C$28*('E Balans VL '!D13+'E Balans VL '!E13)/100/3.6*1000000</f>
        <v>0</v>
      </c>
      <c r="K8" s="33"/>
      <c r="L8" s="33"/>
      <c r="M8" s="33"/>
      <c r="N8" s="33">
        <f>$C$28*'E Balans VL '!Y13/100/3.6*1000000</f>
        <v>81.289203750978814</v>
      </c>
      <c r="O8" s="33"/>
      <c r="P8" s="33"/>
      <c r="R8" s="32"/>
    </row>
    <row r="9" spans="1:18">
      <c r="A9" s="32" t="s">
        <v>50</v>
      </c>
      <c r="B9" s="37">
        <f t="shared" si="0"/>
        <v>1818.2809999999999</v>
      </c>
      <c r="C9" s="33"/>
      <c r="D9" s="37">
        <f>IF(ISERROR(TER_gezond_gas_kWh/1000),0,TER_gezond_gas_kWh/1000)*0.902</f>
        <v>2296.18532</v>
      </c>
      <c r="E9" s="33">
        <f>$C$29*'E Balans VL '!I10/100/3.6*1000000</f>
        <v>1.4474692792643951</v>
      </c>
      <c r="F9" s="33">
        <f>$C$29*('E Balans VL '!L10+'E Balans VL '!N10)/100/3.6*1000000</f>
        <v>221.03833207718739</v>
      </c>
      <c r="G9" s="34"/>
      <c r="H9" s="33"/>
      <c r="I9" s="33"/>
      <c r="J9" s="33">
        <f>$C$29*('E Balans VL '!D10+'E Balans VL '!E10)/100/3.6*1000000</f>
        <v>0</v>
      </c>
      <c r="K9" s="33"/>
      <c r="L9" s="33"/>
      <c r="M9" s="33"/>
      <c r="N9" s="33">
        <f>$C$29*'E Balans VL '!Y10/100/3.6*1000000</f>
        <v>14.687592196099958</v>
      </c>
      <c r="O9" s="33"/>
      <c r="P9" s="33"/>
      <c r="R9" s="32"/>
    </row>
    <row r="10" spans="1:18">
      <c r="A10" s="32" t="s">
        <v>49</v>
      </c>
      <c r="B10" s="37">
        <f t="shared" si="0"/>
        <v>3525.9650000000001</v>
      </c>
      <c r="C10" s="33"/>
      <c r="D10" s="37">
        <f>IF(ISERROR(TER_ander_gas_kWh/1000),0,TER_ander_gas_kWh/1000)*0.902</f>
        <v>4614.7997719999994</v>
      </c>
      <c r="E10" s="33">
        <f>$C$30*'E Balans VL '!I14/100/3.6*1000000</f>
        <v>12.083667285457155</v>
      </c>
      <c r="F10" s="33">
        <f>$C$30*('E Balans VL '!L14+'E Balans VL '!N14)/100/3.6*1000000</f>
        <v>787.55730266008709</v>
      </c>
      <c r="G10" s="34"/>
      <c r="H10" s="33"/>
      <c r="I10" s="33"/>
      <c r="J10" s="33">
        <f>$C$30*('E Balans VL '!D14+'E Balans VL '!E14)/100/3.6*1000000</f>
        <v>0</v>
      </c>
      <c r="K10" s="33"/>
      <c r="L10" s="33"/>
      <c r="M10" s="33"/>
      <c r="N10" s="33">
        <f>$C$30*'E Balans VL '!Y14/100/3.6*1000000</f>
        <v>2483.7090079702753</v>
      </c>
      <c r="O10" s="33"/>
      <c r="P10" s="33"/>
      <c r="R10" s="32"/>
    </row>
    <row r="11" spans="1:18">
      <c r="A11" s="32" t="s">
        <v>54</v>
      </c>
      <c r="B11" s="37">
        <f t="shared" si="0"/>
        <v>481.09399999999999</v>
      </c>
      <c r="C11" s="33"/>
      <c r="D11" s="37">
        <f>IF(ISERROR(TER_onderwijs_gas_kWh/1000),0,TER_onderwijs_gas_kWh/1000)*0.902</f>
        <v>995.92435799999998</v>
      </c>
      <c r="E11" s="33">
        <f>$C$31*'E Balans VL '!I11/100/3.6*1000000</f>
        <v>0.33256546567087925</v>
      </c>
      <c r="F11" s="33">
        <f>$C$31*('E Balans VL '!L11+'E Balans VL '!N11)/100/3.6*1000000</f>
        <v>125.93643436751515</v>
      </c>
      <c r="G11" s="34"/>
      <c r="H11" s="33"/>
      <c r="I11" s="33"/>
      <c r="J11" s="33">
        <f>$C$31*('E Balans VL '!D11+'E Balans VL '!E11)/100/3.6*1000000</f>
        <v>0</v>
      </c>
      <c r="K11" s="33"/>
      <c r="L11" s="33"/>
      <c r="M11" s="33"/>
      <c r="N11" s="33">
        <f>$C$31*'E Balans VL '!Y11/100/3.6*1000000</f>
        <v>0.47888810060957693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27682.160999999996</v>
      </c>
      <c r="C16" s="21">
        <f t="shared" ca="1" si="1"/>
        <v>34.071428571428577</v>
      </c>
      <c r="D16" s="21">
        <f t="shared" ca="1" si="1"/>
        <v>20285.06861485714</v>
      </c>
      <c r="E16" s="21">
        <f t="shared" si="1"/>
        <v>246.15751434416595</v>
      </c>
      <c r="F16" s="21">
        <f t="shared" ca="1" si="1"/>
        <v>4004.0254847745509</v>
      </c>
      <c r="G16" s="21">
        <f t="shared" si="1"/>
        <v>0</v>
      </c>
      <c r="H16" s="21">
        <f t="shared" si="1"/>
        <v>0</v>
      </c>
      <c r="I16" s="21">
        <f t="shared" si="1"/>
        <v>0</v>
      </c>
      <c r="J16" s="21">
        <f t="shared" si="1"/>
        <v>0</v>
      </c>
      <c r="K16" s="21">
        <f t="shared" si="1"/>
        <v>0</v>
      </c>
      <c r="L16" s="21">
        <f t="shared" ca="1" si="1"/>
        <v>0</v>
      </c>
      <c r="M16" s="21">
        <f t="shared" si="1"/>
        <v>0</v>
      </c>
      <c r="N16" s="21">
        <f t="shared" ca="1" si="1"/>
        <v>2675.828451935683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0.18980349646955519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5254.170947633158</v>
      </c>
      <c r="C20" s="23">
        <f t="shared" ref="C20:P20" ca="1" si="2">C16*C18</f>
        <v>8.0969747899159685</v>
      </c>
      <c r="D20" s="23">
        <f t="shared" ca="1" si="2"/>
        <v>4097.5838602011427</v>
      </c>
      <c r="E20" s="23">
        <f t="shared" si="2"/>
        <v>55.877755756125673</v>
      </c>
      <c r="F20" s="23">
        <f t="shared" ca="1" si="2"/>
        <v>1069.0748044348052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9497.9419999999991</v>
      </c>
      <c r="C26" s="39">
        <f>IF(ISERROR(B26*3.6/1000000/'E Balans VL '!Z12*100),0,B26*3.6/1000000/'E Balans VL '!Z12*100)</f>
        <v>0.20863327675053109</v>
      </c>
      <c r="D26" s="237" t="s">
        <v>691</v>
      </c>
      <c r="F26" s="6"/>
    </row>
    <row r="27" spans="1:18">
      <c r="A27" s="231" t="s">
        <v>52</v>
      </c>
      <c r="B27" s="33">
        <f>IF(ISERROR(TER_horeca_ele_kWh/1000),0,TER_horeca_ele_kWh/1000)</f>
        <v>2314.2379999999998</v>
      </c>
      <c r="C27" s="39">
        <f>IF(ISERROR(B27*3.6/1000000/'E Balans VL '!Z9*100),0,B27*3.6/1000000/'E Balans VL '!Z9*100)</f>
        <v>0.18597209189684902</v>
      </c>
      <c r="D27" s="237" t="s">
        <v>691</v>
      </c>
      <c r="F27" s="6"/>
    </row>
    <row r="28" spans="1:18">
      <c r="A28" s="171" t="s">
        <v>51</v>
      </c>
      <c r="B28" s="33">
        <f>IF(ISERROR(TER_handel_ele_kWh/1000),0,TER_handel_ele_kWh/1000)</f>
        <v>10020.790999999999</v>
      </c>
      <c r="C28" s="39">
        <f>IF(ISERROR(B28*3.6/1000000/'E Balans VL '!Z13*100),0,B28*3.6/1000000/'E Balans VL '!Z13*100)</f>
        <v>0.29630778919841727</v>
      </c>
      <c r="D28" s="237" t="s">
        <v>691</v>
      </c>
      <c r="F28" s="6"/>
    </row>
    <row r="29" spans="1:18">
      <c r="A29" s="231" t="s">
        <v>50</v>
      </c>
      <c r="B29" s="33">
        <f>IF(ISERROR(TER_gezond_ele_kWh/1000),0,TER_gezond_ele_kWh/1000)</f>
        <v>1818.2809999999999</v>
      </c>
      <c r="C29" s="39">
        <f>IF(ISERROR(B29*3.6/1000000/'E Balans VL '!Z10*100),0,B29*3.6/1000000/'E Balans VL '!Z10*100)</f>
        <v>0.20487332482269321</v>
      </c>
      <c r="D29" s="237" t="s">
        <v>691</v>
      </c>
      <c r="F29" s="6"/>
    </row>
    <row r="30" spans="1:18">
      <c r="A30" s="231" t="s">
        <v>49</v>
      </c>
      <c r="B30" s="33">
        <f>IF(ISERROR(TER_ander_ele_kWh/1000),0,TER_ander_ele_kWh/1000)</f>
        <v>3525.9650000000001</v>
      </c>
      <c r="C30" s="39">
        <f>IF(ISERROR(B30*3.6/1000000/'E Balans VL '!Z14*100),0,B30*3.6/1000000/'E Balans VL '!Z14*100)</f>
        <v>0.26666270558508892</v>
      </c>
      <c r="D30" s="237" t="s">
        <v>691</v>
      </c>
      <c r="F30" s="6"/>
    </row>
    <row r="31" spans="1:18">
      <c r="A31" s="231" t="s">
        <v>54</v>
      </c>
      <c r="B31" s="33">
        <f>IF(ISERROR(TER_onderwijs_ele_kWh/1000),0,TER_onderwijs_ele_kWh/1000)</f>
        <v>481.09399999999999</v>
      </c>
      <c r="C31" s="39">
        <f>IF(ISERROR(B31*3.6/1000000/'E Balans VL '!Z11*100),0,B31*3.6/1000000/'E Balans VL '!Z11*100)</f>
        <v>9.986394628224203E-2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136665.89599999998</v>
      </c>
      <c r="C5" s="17">
        <f>IF(ISERROR('Eigen informatie GS &amp; warmtenet'!B59),0,'Eigen informatie GS &amp; warmtenet'!B59)</f>
        <v>0</v>
      </c>
      <c r="D5" s="30">
        <f>SUM(D6:D15)</f>
        <v>21228.637649999997</v>
      </c>
      <c r="E5" s="17">
        <f>SUM(E6:E15)</f>
        <v>1674.9481706140716</v>
      </c>
      <c r="F5" s="17">
        <f>SUM(F6:F15)</f>
        <v>13945.687388983801</v>
      </c>
      <c r="G5" s="18"/>
      <c r="H5" s="17"/>
      <c r="I5" s="17"/>
      <c r="J5" s="17">
        <f>SUM(J6:J15)</f>
        <v>166.5493222374011</v>
      </c>
      <c r="K5" s="17"/>
      <c r="L5" s="17"/>
      <c r="M5" s="17"/>
      <c r="N5" s="17">
        <f>SUM(N6:N15)</f>
        <v>1202.226742526635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24361.601999999999</v>
      </c>
      <c r="C8" s="33"/>
      <c r="D8" s="37">
        <f>IF( ISERROR(IND_metaal_Gas_kWH/1000),0,IND_metaal_Gas_kWH/1000)*0.902</f>
        <v>1355.50756</v>
      </c>
      <c r="E8" s="33">
        <f>C30*'E Balans VL '!I18/100/3.6*1000000</f>
        <v>609.68563427965728</v>
      </c>
      <c r="F8" s="33">
        <f>C30*'E Balans VL '!L18/100/3.6*1000000+C30*'E Balans VL '!N18/100/3.6*1000000</f>
        <v>7635.047247640432</v>
      </c>
      <c r="G8" s="34"/>
      <c r="H8" s="33"/>
      <c r="I8" s="33"/>
      <c r="J8" s="40">
        <f>C30*'E Balans VL '!D18/100/3.6*1000000+C30*'E Balans VL '!E18/100/3.6*1000000</f>
        <v>0</v>
      </c>
      <c r="K8" s="33"/>
      <c r="L8" s="33"/>
      <c r="M8" s="33"/>
      <c r="N8" s="33">
        <f>C30*'E Balans VL '!Y18/100/3.6*1000000</f>
        <v>612.02666611035397</v>
      </c>
      <c r="O8" s="33"/>
      <c r="P8" s="33"/>
      <c r="R8" s="32"/>
    </row>
    <row r="9" spans="1:18">
      <c r="A9" s="6" t="s">
        <v>32</v>
      </c>
      <c r="B9" s="37">
        <f t="shared" si="0"/>
        <v>2527.6149999999998</v>
      </c>
      <c r="C9" s="33"/>
      <c r="D9" s="37">
        <f>IF( ISERROR(IND_andere_gas_kWh/1000),0,IND_andere_gas_kWh/1000)*0.902</f>
        <v>749.64769000000001</v>
      </c>
      <c r="E9" s="33">
        <f>C31*'E Balans VL '!I19/100/3.6*1000000</f>
        <v>694.9904547302541</v>
      </c>
      <c r="F9" s="33">
        <f>C31*'E Balans VL '!L19/100/3.6*1000000+C31*'E Balans VL '!N19/100/3.6*1000000</f>
        <v>1992.2004565893694</v>
      </c>
      <c r="G9" s="34"/>
      <c r="H9" s="33"/>
      <c r="I9" s="33"/>
      <c r="J9" s="40">
        <f>C31*'E Balans VL '!D19/100/3.6*1000000+C31*'E Balans VL '!E19/100/3.6*1000000</f>
        <v>0</v>
      </c>
      <c r="K9" s="33"/>
      <c r="L9" s="33"/>
      <c r="M9" s="33"/>
      <c r="N9" s="33">
        <f>C31*'E Balans VL '!Y19/100/3.6*1000000</f>
        <v>203.62625719042609</v>
      </c>
      <c r="O9" s="33"/>
      <c r="P9" s="33"/>
      <c r="R9" s="32"/>
    </row>
    <row r="10" spans="1:18">
      <c r="A10" s="6" t="s">
        <v>40</v>
      </c>
      <c r="B10" s="37">
        <f t="shared" si="0"/>
        <v>470.66399999999999</v>
      </c>
      <c r="C10" s="33"/>
      <c r="D10" s="37">
        <f>IF( ISERROR(IND_voed_gas_kWh/1000),0,IND_voed_gas_kWh/1000)*0.902</f>
        <v>337.84500200000002</v>
      </c>
      <c r="E10" s="33">
        <f>C32*'E Balans VL '!I20/100/3.6*1000000</f>
        <v>4.7981601897228838</v>
      </c>
      <c r="F10" s="33">
        <f>C32*'E Balans VL '!L20/100/3.6*1000000+C32*'E Balans VL '!N20/100/3.6*1000000</f>
        <v>889.08135228084029</v>
      </c>
      <c r="G10" s="34"/>
      <c r="H10" s="33"/>
      <c r="I10" s="33"/>
      <c r="J10" s="40">
        <f>C32*'E Balans VL '!D20/100/3.6*1000000+C32*'E Balans VL '!E20/100/3.6*1000000</f>
        <v>11.264529539580282</v>
      </c>
      <c r="K10" s="33"/>
      <c r="L10" s="33"/>
      <c r="M10" s="33"/>
      <c r="N10" s="33">
        <f>C32*'E Balans VL '!Y20/100/3.6*1000000</f>
        <v>248.09414184490498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102923.37</v>
      </c>
      <c r="C12" s="33"/>
      <c r="D12" s="37">
        <f>IF( ISERROR(IND_min_gas_kWh/1000),0,IND_min_gas_kWh/1000)*0.902</f>
        <v>0</v>
      </c>
      <c r="E12" s="33">
        <f>C34*'E Balans VL '!I22/100/3.6*1000000</f>
        <v>311.70833004171953</v>
      </c>
      <c r="F12" s="33">
        <f>C34*'E Balans VL '!L22/100/3.6*1000000+C34*'E Balans VL '!N22/100/3.6*1000000</f>
        <v>3216.443799437237</v>
      </c>
      <c r="G12" s="34"/>
      <c r="H12" s="33"/>
      <c r="I12" s="33"/>
      <c r="J12" s="40">
        <f>C34*'E Balans VL '!D22/100/3.6*1000000+C34*'E Balans VL '!E22/100/3.6*1000000</f>
        <v>152.61250989918562</v>
      </c>
      <c r="K12" s="33"/>
      <c r="L12" s="33"/>
      <c r="M12" s="33"/>
      <c r="N12" s="33">
        <f>C34*'E Balans VL '!Y22/100/3.6*1000000</f>
        <v>0</v>
      </c>
      <c r="O12" s="33"/>
      <c r="P12" s="33"/>
      <c r="R12" s="32"/>
    </row>
    <row r="13" spans="1:18">
      <c r="A13" s="6" t="s">
        <v>38</v>
      </c>
      <c r="B13" s="37">
        <f t="shared" si="0"/>
        <v>107.47</v>
      </c>
      <c r="C13" s="33"/>
      <c r="D13" s="37">
        <f>IF( ISERROR(IND_papier_gas_kWh/1000),0,IND_papier_gas_kWh/1000)*0.902</f>
        <v>171.06881000000001</v>
      </c>
      <c r="E13" s="33">
        <f>C35*'E Balans VL '!I23/100/3.6*1000000</f>
        <v>0.22257762405032552</v>
      </c>
      <c r="F13" s="33">
        <f>C35*'E Balans VL '!L23/100/3.6*1000000+C35*'E Balans VL '!N23/100/3.6*1000000</f>
        <v>2.1313604973678371</v>
      </c>
      <c r="G13" s="34"/>
      <c r="H13" s="33"/>
      <c r="I13" s="33"/>
      <c r="J13" s="40">
        <f>C35*'E Balans VL '!D23/100/3.6*1000000+C35*'E Balans VL '!E23/100/3.6*1000000</f>
        <v>0</v>
      </c>
      <c r="K13" s="33"/>
      <c r="L13" s="33"/>
      <c r="M13" s="33"/>
      <c r="N13" s="33">
        <f>C35*'E Balans VL '!Y23/100/3.6*1000000</f>
        <v>7.4535877121521752</v>
      </c>
      <c r="O13" s="33"/>
      <c r="P13" s="33"/>
      <c r="R13" s="32"/>
    </row>
    <row r="14" spans="1:18">
      <c r="A14" s="6" t="s">
        <v>33</v>
      </c>
      <c r="B14" s="37">
        <f t="shared" si="0"/>
        <v>5638.2089999999998</v>
      </c>
      <c r="C14" s="33"/>
      <c r="D14" s="37">
        <f>IF( ISERROR(IND_chemie_gas_kWh/1000),0,IND_chemie_gas_kWh/1000)*0.902</f>
        <v>0</v>
      </c>
      <c r="E14" s="33">
        <f>C36*'E Balans VL '!I24/100/3.6*1000000</f>
        <v>21.138572142377512</v>
      </c>
      <c r="F14" s="33">
        <f>C36*'E Balans VL '!L24/100/3.6*1000000+C36*'E Balans VL '!N24/100/3.6*1000000</f>
        <v>65.594655792771349</v>
      </c>
      <c r="G14" s="34"/>
      <c r="H14" s="33"/>
      <c r="I14" s="33"/>
      <c r="J14" s="40">
        <f>C36*'E Balans VL '!D24/100/3.6*1000000+C36*'E Balans VL '!E24/100/3.6*1000000</f>
        <v>0</v>
      </c>
      <c r="K14" s="33"/>
      <c r="L14" s="33"/>
      <c r="M14" s="33"/>
      <c r="N14" s="33">
        <f>C36*'E Balans VL '!Y24/100/3.6*1000000</f>
        <v>96.326094878518688</v>
      </c>
      <c r="O14" s="33"/>
      <c r="P14" s="33"/>
      <c r="R14" s="32"/>
    </row>
    <row r="15" spans="1:18">
      <c r="A15" s="6" t="s">
        <v>269</v>
      </c>
      <c r="B15" s="37">
        <f t="shared" si="0"/>
        <v>636.96600000000001</v>
      </c>
      <c r="C15" s="33"/>
      <c r="D15" s="37">
        <f>IF( ISERROR(IND_rest_gas_kWh/1000),0,IND_rest_gas_kWh/1000)*0.902</f>
        <v>18614.568587999998</v>
      </c>
      <c r="E15" s="33">
        <f>C37*'E Balans VL '!I15/100/3.6*1000000</f>
        <v>32.404441606290099</v>
      </c>
      <c r="F15" s="33">
        <f>C37*'E Balans VL '!L15/100/3.6*1000000+C37*'E Balans VL '!N15/100/3.6*1000000</f>
        <v>145.1885167457848</v>
      </c>
      <c r="G15" s="34"/>
      <c r="H15" s="33"/>
      <c r="I15" s="33"/>
      <c r="J15" s="40">
        <f>C37*'E Balans VL '!D15/100/3.6*1000000+C37*'E Balans VL '!E15/100/3.6*1000000</f>
        <v>2.6722827986351883</v>
      </c>
      <c r="K15" s="33"/>
      <c r="L15" s="33"/>
      <c r="M15" s="33"/>
      <c r="N15" s="33">
        <f>C37*'E Balans VL '!Y15/100/3.6*1000000</f>
        <v>34.699994790279078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136665.89599999998</v>
      </c>
      <c r="C18" s="21">
        <f>C5+C16</f>
        <v>0</v>
      </c>
      <c r="D18" s="21">
        <f>MAX((D5+D16),0)</f>
        <v>21228.637649999997</v>
      </c>
      <c r="E18" s="21">
        <f>MAX((E5+E16),0)</f>
        <v>1674.9481706140716</v>
      </c>
      <c r="F18" s="21">
        <f>MAX((F5+F16),0)</f>
        <v>13945.687388983801</v>
      </c>
      <c r="G18" s="21"/>
      <c r="H18" s="21"/>
      <c r="I18" s="21"/>
      <c r="J18" s="21">
        <f>MAX((J5+J16),0)</f>
        <v>166.5493222374011</v>
      </c>
      <c r="K18" s="21"/>
      <c r="L18" s="21">
        <f>MAX((L5+L16),0)</f>
        <v>0</v>
      </c>
      <c r="M18" s="21"/>
      <c r="N18" s="21">
        <f>MAX((N5+N16),0)</f>
        <v>1202.226742526635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0.18980349646955519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25939.664908944593</v>
      </c>
      <c r="C22" s="23">
        <f ca="1">C18*C20</f>
        <v>0</v>
      </c>
      <c r="D22" s="23">
        <f>D18*D20</f>
        <v>4288.1848052999994</v>
      </c>
      <c r="E22" s="23">
        <f>E18*E20</f>
        <v>380.21323472939429</v>
      </c>
      <c r="F22" s="23">
        <f>F18*F20</f>
        <v>3723.4985328586749</v>
      </c>
      <c r="G22" s="23"/>
      <c r="H22" s="23"/>
      <c r="I22" s="23"/>
      <c r="J22" s="23">
        <f>J18*J20</f>
        <v>58.958460072039983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24361.601999999999</v>
      </c>
      <c r="C30" s="39">
        <f>IF(ISERROR(B30*3.6/1000000/'E Balans VL '!Z18*100),0,B30*3.6/1000000/'E Balans VL '!Z18*100)</f>
        <v>3.4098124206444917</v>
      </c>
      <c r="D30" s="237" t="s">
        <v>691</v>
      </c>
    </row>
    <row r="31" spans="1:18">
      <c r="A31" s="6" t="s">
        <v>32</v>
      </c>
      <c r="B31" s="37">
        <f>IF( ISERROR(IND_ander_ele_kWh/1000),0,IND_ander_ele_kWh/1000)</f>
        <v>2527.6149999999998</v>
      </c>
      <c r="C31" s="39">
        <f>IF(ISERROR(B31*3.6/1000000/'E Balans VL '!Z19*100),0,B31*3.6/1000000/'E Balans VL '!Z19*100)</f>
        <v>0.11063329851259118</v>
      </c>
      <c r="D31" s="237" t="s">
        <v>691</v>
      </c>
    </row>
    <row r="32" spans="1:18">
      <c r="A32" s="171" t="s">
        <v>40</v>
      </c>
      <c r="B32" s="37">
        <f>IF( ISERROR(IND_voed_ele_kWh/1000),0,IND_voed_ele_kWh/1000)</f>
        <v>470.66399999999999</v>
      </c>
      <c r="C32" s="39">
        <f>IF(ISERROR(B32*3.6/1000000/'E Balans VL '!Z20*100),0,B32*3.6/1000000/'E Balans VL '!Z20*100)</f>
        <v>0.1165207764195163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102923.37</v>
      </c>
      <c r="C34" s="39">
        <f>IF(ISERROR(B34*3.6/1000000/'E Balans VL '!Z22*100),0,B34*3.6/1000000/'E Balans VL '!Z22*100)</f>
        <v>2.9205453358179536</v>
      </c>
      <c r="D34" s="237" t="s">
        <v>691</v>
      </c>
    </row>
    <row r="35" spans="1:5">
      <c r="A35" s="171" t="s">
        <v>38</v>
      </c>
      <c r="B35" s="37">
        <f>IF( ISERROR(IND_papier_ele_kWh/1000),0,IND_papier_ele_kWh/1000)</f>
        <v>107.47</v>
      </c>
      <c r="C35" s="39">
        <f>IF(ISERROR(B35*3.6/1000000/'E Balans VL '!Z22*100),0,B35*3.6/1000000/'E Balans VL '!Z22*100)</f>
        <v>3.0495601459644734E-3</v>
      </c>
      <c r="D35" s="237" t="s">
        <v>691</v>
      </c>
    </row>
    <row r="36" spans="1:5">
      <c r="A36" s="171" t="s">
        <v>33</v>
      </c>
      <c r="B36" s="37">
        <f>IF( ISERROR(IND_chemie_ele_kWh/1000),0,IND_chemie_ele_kWh/1000)</f>
        <v>5638.2089999999998</v>
      </c>
      <c r="C36" s="39">
        <f>IF(ISERROR(B36*3.6/1000000/'E Balans VL '!Z24*100),0,B36*3.6/1000000/'E Balans VL '!Z24*100)</f>
        <v>0.14376572369344653</v>
      </c>
      <c r="D36" s="237" t="s">
        <v>691</v>
      </c>
    </row>
    <row r="37" spans="1:5">
      <c r="A37" s="171" t="s">
        <v>269</v>
      </c>
      <c r="B37" s="37">
        <f>IF( ISERROR(IND_rest_ele_kWh/1000),0,IND_rest_ele_kWh/1000)</f>
        <v>636.96600000000001</v>
      </c>
      <c r="C37" s="39">
        <f>IF(ISERROR(B37*3.6/1000000/'E Balans VL '!Z15*100),0,B37*3.6/1000000/'E Balans VL '!Z15*100)</f>
        <v>4.7229938368060559E-3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1192.702</v>
      </c>
      <c r="C5" s="17">
        <f>'Eigen informatie GS &amp; warmtenet'!B60</f>
        <v>0</v>
      </c>
      <c r="D5" s="30">
        <f>IF(ISERROR(SUM(LB_lb_gas_kWh,LB_rest_gas_kWh)/1000),0,SUM(LB_lb_gas_kWh,LB_rest_gas_kWh)/1000)*0.902</f>
        <v>83.287974000000006</v>
      </c>
      <c r="E5" s="17">
        <f>B17*'E Balans VL '!I25/3.6*1000000/100</f>
        <v>11.047305473517151</v>
      </c>
      <c r="F5" s="17">
        <f>B17*('E Balans VL '!L25/3.6*1000000+'E Balans VL '!N25/3.6*1000000)/100</f>
        <v>3026.1121834978326</v>
      </c>
      <c r="G5" s="18"/>
      <c r="H5" s="17"/>
      <c r="I5" s="17"/>
      <c r="J5" s="17">
        <f>('E Balans VL '!D25+'E Balans VL '!E25)/3.6*1000000*landbouw!B17/100</f>
        <v>182.85452719316822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1192.702</v>
      </c>
      <c r="C8" s="21">
        <f>C5+C6</f>
        <v>0</v>
      </c>
      <c r="D8" s="21">
        <f>MAX((D5+D6),0)</f>
        <v>83.287974000000006</v>
      </c>
      <c r="E8" s="21">
        <f>MAX((E5+E6),0)</f>
        <v>11.047305473517151</v>
      </c>
      <c r="F8" s="21">
        <f>MAX((F5+F6),0)</f>
        <v>3026.1121834978326</v>
      </c>
      <c r="G8" s="21"/>
      <c r="H8" s="21"/>
      <c r="I8" s="21"/>
      <c r="J8" s="21">
        <f>MAX((J5+J6),0)</f>
        <v>182.85452719316822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0.18980349646955519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226.37900984623141</v>
      </c>
      <c r="C12" s="23">
        <f ca="1">C8*C10</f>
        <v>0</v>
      </c>
      <c r="D12" s="23">
        <f>D8*D10</f>
        <v>16.824170748000004</v>
      </c>
      <c r="E12" s="23">
        <f>E8*E10</f>
        <v>2.5077383424883934</v>
      </c>
      <c r="F12" s="23">
        <f>F8*F10</f>
        <v>807.97195299392138</v>
      </c>
      <c r="G12" s="23"/>
      <c r="H12" s="23"/>
      <c r="I12" s="23"/>
      <c r="J12" s="23">
        <f>J8*J10</f>
        <v>64.730502626381551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0.16957693474630686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168.14870230674245</v>
      </c>
      <c r="C26" s="247">
        <f>B26*'GWP N2O_CH4'!B5</f>
        <v>3531.1227484415913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34.458090769348566</v>
      </c>
      <c r="C27" s="247">
        <f>B27*'GWP N2O_CH4'!B5</f>
        <v>723.61990615631987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2.1192325552702029</v>
      </c>
      <c r="C28" s="247">
        <f>B28*'GWP N2O_CH4'!B4</f>
        <v>656.96209213376289</v>
      </c>
      <c r="D28" s="50"/>
    </row>
    <row r="29" spans="1:4">
      <c r="A29" s="41" t="s">
        <v>276</v>
      </c>
      <c r="B29" s="247">
        <f>B34*'ha_N2O bodem landbouw'!B4</f>
        <v>10.525461564667111</v>
      </c>
      <c r="C29" s="247">
        <f>B29*'GWP N2O_CH4'!B4</f>
        <v>3262.8930850468046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2.3606755986316989E-3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5.5061564392671697E-5</v>
      </c>
      <c r="C5" s="438" t="s">
        <v>210</v>
      </c>
      <c r="D5" s="423">
        <f>SUM(D6:D11)</f>
        <v>1.1789272436829644E-4</v>
      </c>
      <c r="E5" s="423">
        <f>SUM(E6:E11)</f>
        <v>1.1970463202366066E-3</v>
      </c>
      <c r="F5" s="436" t="s">
        <v>210</v>
      </c>
      <c r="G5" s="423">
        <f>SUM(G6:G11)</f>
        <v>0.40114719038105057</v>
      </c>
      <c r="H5" s="423">
        <f>SUM(H6:H11)</f>
        <v>7.2079421607486649E-2</v>
      </c>
      <c r="I5" s="438" t="s">
        <v>210</v>
      </c>
      <c r="J5" s="438" t="s">
        <v>210</v>
      </c>
      <c r="K5" s="438" t="s">
        <v>210</v>
      </c>
      <c r="L5" s="438" t="s">
        <v>210</v>
      </c>
      <c r="M5" s="423">
        <f>SUM(M6:M11)</f>
        <v>2.5456000241172574E-2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1.8480290676057849E-5</v>
      </c>
      <c r="C6" s="424"/>
      <c r="D6" s="866">
        <f>vkm_GW_PW*SUMIFS(TableVerdeelsleutelVkm[CNG],TableVerdeelsleutelVkm[Voertuigtype],"Lichte voertuigen")*SUMIFS(TableECFTransport[EnergieConsumptieFactor (PJ per km)],TableECFTransport[Index],CONCATENATE($A6,"_CNG_CNG"))</f>
        <v>3.2247820551328847E-5</v>
      </c>
      <c r="E6" s="866">
        <f>vkm_GW_PW*SUMIFS(TableVerdeelsleutelVkm[LPG],TableVerdeelsleutelVkm[Voertuigtype],"Lichte voertuigen")*SUMIFS(TableECFTransport[EnergieConsumptieFactor (PJ per km)],TableECFTransport[Index],CONCATENATE($A6,"_LPG_LPG"))</f>
        <v>3.1233599417276219E-4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7.3404332975131326E-2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1.9748379471396182E-2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4.8581564102613637E-3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2.7511098210711484E-2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5.3352764125745837E-7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1.595031278308328E-3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1.720485439907385E-5</v>
      </c>
      <c r="C8" s="424"/>
      <c r="D8" s="426">
        <f>vkm_NGW_PW*SUMIFS(TableVerdeelsleutelVkm[CNG],TableVerdeelsleutelVkm[Voertuigtype],"Lichte voertuigen")*SUMIFS(TableECFTransport[EnergieConsumptieFactor (PJ per km)],TableECFTransport[Index],CONCATENATE($A8,"_CNG_CNG"))</f>
        <v>5.1408992383354074E-5</v>
      </c>
      <c r="E8" s="426">
        <f>vkm_NGW_PW*SUMIFS(TableVerdeelsleutelVkm[LPG],TableVerdeelsleutelVkm[Voertuigtype],"Lichte voertuigen")*SUMIFS(TableECFTransport[EnergieConsumptieFactor (PJ per km)],TableECFTransport[Index],CONCATENATE($A8,"_LPG_LPG"))</f>
        <v>4.7120999295703349E-4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0.10394977441979603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3.0397761730289557E-2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6.953930866975053E-3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1.5219227293473313E-2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3.6559302166257859E-7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8.8237854021836566E-4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1.9376419317539999E-5</v>
      </c>
      <c r="C10" s="424"/>
      <c r="D10" s="426">
        <f>vkm_SW_PW*SUMIFS(TableVerdeelsleutelVkm[CNG],TableVerdeelsleutelVkm[Voertuigtype],"Lichte voertuigen")*SUMIFS(TableECFTransport[EnergieConsumptieFactor (PJ per km)],TableECFTransport[Index],CONCATENATE($A10,"_CNG_CNG"))</f>
        <v>3.4235911433613518E-5</v>
      </c>
      <c r="E10" s="426">
        <f>vkm_SW_PW*SUMIFS(TableVerdeelsleutelVkm[LPG],TableVerdeelsleutelVkm[Voertuigtype],"Lichte voertuigen")*SUMIFS(TableECFTransport[EnergieConsumptieFactor (PJ per km)],TableECFTransport[Index],CONCATENATE($A10,"_LPG_LPG"))</f>
        <v>4.1350033310681082E-4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8.7381338297578451E-2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2.1930450903388084E-2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5.7350627869975426E-3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9.3681419184359974E-2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1.9303817499007204E-6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5.4314403584119217E-3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15.294878997964359</v>
      </c>
      <c r="C14" s="21"/>
      <c r="D14" s="21">
        <f t="shared" ref="D14:M14" si="0">((D5)*10^9/3600)+D12</f>
        <v>32.747978991193456</v>
      </c>
      <c r="E14" s="21">
        <f t="shared" si="0"/>
        <v>332.51286673239071</v>
      </c>
      <c r="F14" s="21"/>
      <c r="G14" s="21">
        <f t="shared" si="0"/>
        <v>111429.77510584738</v>
      </c>
      <c r="H14" s="21">
        <f t="shared" si="0"/>
        <v>20022.061557635181</v>
      </c>
      <c r="I14" s="21"/>
      <c r="J14" s="21"/>
      <c r="K14" s="21"/>
      <c r="L14" s="21"/>
      <c r="M14" s="21">
        <f t="shared" si="0"/>
        <v>7071.1111781034933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0.18980349646955519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2.9030215118924021</v>
      </c>
      <c r="C18" s="23"/>
      <c r="D18" s="23">
        <f t="shared" ref="D18:M18" si="1">D14*D16</f>
        <v>6.6150917562210783</v>
      </c>
      <c r="E18" s="23">
        <f t="shared" si="1"/>
        <v>75.480420748252698</v>
      </c>
      <c r="F18" s="23"/>
      <c r="G18" s="23">
        <f t="shared" si="1"/>
        <v>29751.749953261253</v>
      </c>
      <c r="H18" s="23">
        <f t="shared" si="1"/>
        <v>4985.4933278511598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6.9675121308817927E-3</v>
      </c>
      <c r="H50" s="319">
        <f t="shared" si="2"/>
        <v>0</v>
      </c>
      <c r="I50" s="319">
        <f t="shared" si="2"/>
        <v>0</v>
      </c>
      <c r="J50" s="319">
        <f t="shared" si="2"/>
        <v>0</v>
      </c>
      <c r="K50" s="319">
        <f t="shared" si="2"/>
        <v>0</v>
      </c>
      <c r="L50" s="319">
        <f t="shared" si="2"/>
        <v>0</v>
      </c>
      <c r="M50" s="319">
        <f t="shared" si="2"/>
        <v>3.9824178632956149E-4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6.9675121308817927E-3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3.9824178632956149E-4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1935.4200363560535</v>
      </c>
      <c r="H54" s="21">
        <f t="shared" si="3"/>
        <v>0</v>
      </c>
      <c r="I54" s="21">
        <f t="shared" si="3"/>
        <v>0</v>
      </c>
      <c r="J54" s="21">
        <f t="shared" si="3"/>
        <v>0</v>
      </c>
      <c r="K54" s="21">
        <f t="shared" si="3"/>
        <v>0</v>
      </c>
      <c r="L54" s="21">
        <f t="shared" si="3"/>
        <v>0</v>
      </c>
      <c r="M54" s="21">
        <f t="shared" si="3"/>
        <v>110.62271842487819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0.18980349646955519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516.75714970706633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29132.860999999997</v>
      </c>
      <c r="D10" s="991">
        <f ca="1">tertiair!C16</f>
        <v>34.071428571428577</v>
      </c>
      <c r="E10" s="991">
        <f ca="1">tertiair!D16</f>
        <v>20285.06861485714</v>
      </c>
      <c r="F10" s="991">
        <f>tertiair!E16</f>
        <v>246.15751434416595</v>
      </c>
      <c r="G10" s="991">
        <f ca="1">tertiair!F16</f>
        <v>4004.0254847745509</v>
      </c>
      <c r="H10" s="991">
        <f>tertiair!G16</f>
        <v>0</v>
      </c>
      <c r="I10" s="991">
        <f>tertiair!H16</f>
        <v>0</v>
      </c>
      <c r="J10" s="991">
        <f>tertiair!I16</f>
        <v>0</v>
      </c>
      <c r="K10" s="991">
        <f>tertiair!J16</f>
        <v>0</v>
      </c>
      <c r="L10" s="991">
        <f>tertiair!K16</f>
        <v>0</v>
      </c>
      <c r="M10" s="991">
        <f ca="1">tertiair!L16</f>
        <v>0</v>
      </c>
      <c r="N10" s="991">
        <f>tertiair!M16</f>
        <v>0</v>
      </c>
      <c r="O10" s="991">
        <f ca="1">tertiair!N16</f>
        <v>2675.828451935683</v>
      </c>
      <c r="P10" s="991">
        <f>tertiair!O16</f>
        <v>3.1266666666666669</v>
      </c>
      <c r="Q10" s="992">
        <f>tertiair!P16</f>
        <v>19.066666666666666</v>
      </c>
      <c r="R10" s="675">
        <f ca="1">SUM(C10:Q10)</f>
        <v>56400.205827816295</v>
      </c>
      <c r="S10" s="67"/>
    </row>
    <row r="11" spans="1:19" s="448" customFormat="1">
      <c r="A11" s="784" t="s">
        <v>224</v>
      </c>
      <c r="B11" s="789"/>
      <c r="C11" s="991">
        <f>huishoudens!B8</f>
        <v>32206.399402969048</v>
      </c>
      <c r="D11" s="991">
        <f>huishoudens!C8</f>
        <v>0</v>
      </c>
      <c r="E11" s="991">
        <f>huishoudens!D8</f>
        <v>46717.220154000002</v>
      </c>
      <c r="F11" s="991">
        <f>huishoudens!E8</f>
        <v>22289.064446146087</v>
      </c>
      <c r="G11" s="991">
        <f>huishoudens!F8</f>
        <v>48001.650124001724</v>
      </c>
      <c r="H11" s="991">
        <f>huishoudens!G8</f>
        <v>0</v>
      </c>
      <c r="I11" s="991">
        <f>huishoudens!H8</f>
        <v>0</v>
      </c>
      <c r="J11" s="991">
        <f>huishoudens!I8</f>
        <v>0</v>
      </c>
      <c r="K11" s="991">
        <f>huishoudens!J8</f>
        <v>0</v>
      </c>
      <c r="L11" s="991">
        <f>huishoudens!K8</f>
        <v>0</v>
      </c>
      <c r="M11" s="991">
        <f>huishoudens!L8</f>
        <v>0</v>
      </c>
      <c r="N11" s="991">
        <f>huishoudens!M8</f>
        <v>0</v>
      </c>
      <c r="O11" s="991">
        <f>huishoudens!N8</f>
        <v>17004.938876553584</v>
      </c>
      <c r="P11" s="991">
        <f>huishoudens!O8</f>
        <v>614.3900000000001</v>
      </c>
      <c r="Q11" s="992">
        <f>huishoudens!P8</f>
        <v>1067.7333333333333</v>
      </c>
      <c r="R11" s="675">
        <f>SUM(C11:Q11)</f>
        <v>167901.3963370038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136665.89599999998</v>
      </c>
      <c r="D13" s="991">
        <f>industrie!C18</f>
        <v>0</v>
      </c>
      <c r="E13" s="991">
        <f>industrie!D18</f>
        <v>21228.637649999997</v>
      </c>
      <c r="F13" s="991">
        <f>industrie!E18</f>
        <v>1674.9481706140716</v>
      </c>
      <c r="G13" s="991">
        <f>industrie!F18</f>
        <v>13945.687388983801</v>
      </c>
      <c r="H13" s="991">
        <f>industrie!G18</f>
        <v>0</v>
      </c>
      <c r="I13" s="991">
        <f>industrie!H18</f>
        <v>0</v>
      </c>
      <c r="J13" s="991">
        <f>industrie!I18</f>
        <v>0</v>
      </c>
      <c r="K13" s="991">
        <f>industrie!J18</f>
        <v>166.5493222374011</v>
      </c>
      <c r="L13" s="991">
        <f>industrie!K18</f>
        <v>0</v>
      </c>
      <c r="M13" s="991">
        <f>industrie!L18</f>
        <v>0</v>
      </c>
      <c r="N13" s="991">
        <f>industrie!M18</f>
        <v>0</v>
      </c>
      <c r="O13" s="991">
        <f>industrie!N18</f>
        <v>1202.226742526635</v>
      </c>
      <c r="P13" s="991">
        <f>industrie!O18</f>
        <v>0</v>
      </c>
      <c r="Q13" s="992">
        <f>industrie!P18</f>
        <v>0</v>
      </c>
      <c r="R13" s="675">
        <f>SUM(C13:Q13)</f>
        <v>174883.94527436187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198005.15640296903</v>
      </c>
      <c r="D16" s="707">
        <f t="shared" ref="D16:R16" ca="1" si="0">SUM(D9:D15)</f>
        <v>34.071428571428577</v>
      </c>
      <c r="E16" s="707">
        <f t="shared" ca="1" si="0"/>
        <v>88230.926418857125</v>
      </c>
      <c r="F16" s="707">
        <f t="shared" si="0"/>
        <v>24210.170131104325</v>
      </c>
      <c r="G16" s="707">
        <f t="shared" ca="1" si="0"/>
        <v>65951.362997760079</v>
      </c>
      <c r="H16" s="707">
        <f t="shared" si="0"/>
        <v>0</v>
      </c>
      <c r="I16" s="707">
        <f t="shared" si="0"/>
        <v>0</v>
      </c>
      <c r="J16" s="707">
        <f t="shared" si="0"/>
        <v>0</v>
      </c>
      <c r="K16" s="707">
        <f t="shared" si="0"/>
        <v>166.5493222374011</v>
      </c>
      <c r="L16" s="707">
        <f t="shared" si="0"/>
        <v>0</v>
      </c>
      <c r="M16" s="707">
        <f t="shared" ca="1" si="0"/>
        <v>0</v>
      </c>
      <c r="N16" s="707">
        <f t="shared" si="0"/>
        <v>0</v>
      </c>
      <c r="O16" s="707">
        <f t="shared" ca="1" si="0"/>
        <v>20882.994071015903</v>
      </c>
      <c r="P16" s="707">
        <f t="shared" si="0"/>
        <v>617.51666666666677</v>
      </c>
      <c r="Q16" s="707">
        <f t="shared" si="0"/>
        <v>1086.8</v>
      </c>
      <c r="R16" s="707">
        <f t="shared" ca="1" si="0"/>
        <v>399185.54743918194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1935.4200363560535</v>
      </c>
      <c r="I19" s="991">
        <f>transport!H54</f>
        <v>0</v>
      </c>
      <c r="J19" s="991">
        <f>transport!I54</f>
        <v>0</v>
      </c>
      <c r="K19" s="991">
        <f>transport!J54</f>
        <v>0</v>
      </c>
      <c r="L19" s="991">
        <f>transport!K54</f>
        <v>0</v>
      </c>
      <c r="M19" s="991">
        <f>transport!L54</f>
        <v>0</v>
      </c>
      <c r="N19" s="991">
        <f>transport!M54</f>
        <v>110.62271842487819</v>
      </c>
      <c r="O19" s="991">
        <f>transport!N54</f>
        <v>0</v>
      </c>
      <c r="P19" s="991">
        <f>transport!O54</f>
        <v>0</v>
      </c>
      <c r="Q19" s="992">
        <f>transport!P54</f>
        <v>0</v>
      </c>
      <c r="R19" s="675">
        <f>SUM(C19:Q19)</f>
        <v>2046.0427547809318</v>
      </c>
      <c r="S19" s="67"/>
    </row>
    <row r="20" spans="1:19" s="448" customFormat="1">
      <c r="A20" s="784" t="s">
        <v>306</v>
      </c>
      <c r="B20" s="789"/>
      <c r="C20" s="991">
        <f>transport!B14</f>
        <v>15.294878997964359</v>
      </c>
      <c r="D20" s="991">
        <f>transport!C14</f>
        <v>0</v>
      </c>
      <c r="E20" s="991">
        <f>transport!D14</f>
        <v>32.747978991193456</v>
      </c>
      <c r="F20" s="991">
        <f>transport!E14</f>
        <v>332.51286673239071</v>
      </c>
      <c r="G20" s="991">
        <f>transport!F14</f>
        <v>0</v>
      </c>
      <c r="H20" s="991">
        <f>transport!G14</f>
        <v>111429.77510584738</v>
      </c>
      <c r="I20" s="991">
        <f>transport!H14</f>
        <v>20022.061557635181</v>
      </c>
      <c r="J20" s="991">
        <f>transport!I14</f>
        <v>0</v>
      </c>
      <c r="K20" s="991">
        <f>transport!J14</f>
        <v>0</v>
      </c>
      <c r="L20" s="991">
        <f>transport!K14</f>
        <v>0</v>
      </c>
      <c r="M20" s="991">
        <f>transport!L14</f>
        <v>0</v>
      </c>
      <c r="N20" s="991">
        <f>transport!M14</f>
        <v>7071.1111781034933</v>
      </c>
      <c r="O20" s="991">
        <f>transport!N14</f>
        <v>0</v>
      </c>
      <c r="P20" s="991">
        <f>transport!O14</f>
        <v>0</v>
      </c>
      <c r="Q20" s="992">
        <f>transport!P14</f>
        <v>0</v>
      </c>
      <c r="R20" s="675">
        <f>SUM(C20:Q20)</f>
        <v>138903.5035663076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15.294878997964359</v>
      </c>
      <c r="D22" s="787">
        <f t="shared" ref="D22:R22" si="1">SUM(D18:D21)</f>
        <v>0</v>
      </c>
      <c r="E22" s="787">
        <f t="shared" si="1"/>
        <v>32.747978991193456</v>
      </c>
      <c r="F22" s="787">
        <f t="shared" si="1"/>
        <v>332.51286673239071</v>
      </c>
      <c r="G22" s="787">
        <f t="shared" si="1"/>
        <v>0</v>
      </c>
      <c r="H22" s="787">
        <f t="shared" si="1"/>
        <v>113365.19514220343</v>
      </c>
      <c r="I22" s="787">
        <f t="shared" si="1"/>
        <v>20022.061557635181</v>
      </c>
      <c r="J22" s="787">
        <f t="shared" si="1"/>
        <v>0</v>
      </c>
      <c r="K22" s="787">
        <f t="shared" si="1"/>
        <v>0</v>
      </c>
      <c r="L22" s="787">
        <f t="shared" si="1"/>
        <v>0</v>
      </c>
      <c r="M22" s="787">
        <f t="shared" si="1"/>
        <v>0</v>
      </c>
      <c r="N22" s="787">
        <f t="shared" si="1"/>
        <v>7181.7338965283716</v>
      </c>
      <c r="O22" s="787">
        <f t="shared" si="1"/>
        <v>0</v>
      </c>
      <c r="P22" s="787">
        <f t="shared" si="1"/>
        <v>0</v>
      </c>
      <c r="Q22" s="787">
        <f t="shared" si="1"/>
        <v>0</v>
      </c>
      <c r="R22" s="787">
        <f t="shared" si="1"/>
        <v>140949.54632108854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1192.702</v>
      </c>
      <c r="D24" s="991">
        <f>+landbouw!C8</f>
        <v>0</v>
      </c>
      <c r="E24" s="991">
        <f>+landbouw!D8</f>
        <v>83.287974000000006</v>
      </c>
      <c r="F24" s="991">
        <f>+landbouw!E8</f>
        <v>11.047305473517151</v>
      </c>
      <c r="G24" s="991">
        <f>+landbouw!F8</f>
        <v>3026.1121834978326</v>
      </c>
      <c r="H24" s="991">
        <f>+landbouw!G8</f>
        <v>0</v>
      </c>
      <c r="I24" s="991">
        <f>+landbouw!H8</f>
        <v>0</v>
      </c>
      <c r="J24" s="991">
        <f>+landbouw!I8</f>
        <v>0</v>
      </c>
      <c r="K24" s="991">
        <f>+landbouw!J8</f>
        <v>182.85452719316822</v>
      </c>
      <c r="L24" s="991">
        <f>+landbouw!K8</f>
        <v>0</v>
      </c>
      <c r="M24" s="991">
        <f>+landbouw!L8</f>
        <v>0</v>
      </c>
      <c r="N24" s="991">
        <f>+landbouw!M8</f>
        <v>0</v>
      </c>
      <c r="O24" s="991">
        <f>+landbouw!N8</f>
        <v>0</v>
      </c>
      <c r="P24" s="991">
        <f>+landbouw!O8</f>
        <v>0</v>
      </c>
      <c r="Q24" s="992">
        <f>+landbouw!P8</f>
        <v>0</v>
      </c>
      <c r="R24" s="675">
        <f>SUM(C24:Q24)</f>
        <v>4496.0039901645177</v>
      </c>
      <c r="S24" s="67"/>
    </row>
    <row r="25" spans="1:19" s="448" customFormat="1" ht="15" thickBot="1">
      <c r="A25" s="806" t="s">
        <v>849</v>
      </c>
      <c r="B25" s="994"/>
      <c r="C25" s="995">
        <f>IF(Onbekend_ele_kWh="---",0,Onbekend_ele_kWh)/1000+IF(REST_rest_ele_kWh="---",0,REST_rest_ele_kWh)/1000</f>
        <v>1081.848</v>
      </c>
      <c r="D25" s="995"/>
      <c r="E25" s="995">
        <f>IF(onbekend_gas_kWh="---",0,onbekend_gas_kWh)/1000+IF(REST_rest_gas_kWh="---",0,REST_rest_gas_kWh)/1000</f>
        <v>766.62699999999995</v>
      </c>
      <c r="F25" s="995"/>
      <c r="G25" s="995"/>
      <c r="H25" s="995"/>
      <c r="I25" s="995"/>
      <c r="J25" s="995"/>
      <c r="K25" s="995"/>
      <c r="L25" s="995"/>
      <c r="M25" s="995"/>
      <c r="N25" s="995"/>
      <c r="O25" s="995"/>
      <c r="P25" s="995"/>
      <c r="Q25" s="996"/>
      <c r="R25" s="675">
        <f>SUM(C25:Q25)</f>
        <v>1848.4749999999999</v>
      </c>
      <c r="S25" s="67"/>
    </row>
    <row r="26" spans="1:19" s="448" customFormat="1" ht="15.75" thickBot="1">
      <c r="A26" s="680" t="s">
        <v>850</v>
      </c>
      <c r="B26" s="792"/>
      <c r="C26" s="787">
        <f>SUM(C24:C25)</f>
        <v>2274.5500000000002</v>
      </c>
      <c r="D26" s="787">
        <f t="shared" ref="D26:R26" si="2">SUM(D24:D25)</f>
        <v>0</v>
      </c>
      <c r="E26" s="787">
        <f t="shared" si="2"/>
        <v>849.91497399999992</v>
      </c>
      <c r="F26" s="787">
        <f t="shared" si="2"/>
        <v>11.047305473517151</v>
      </c>
      <c r="G26" s="787">
        <f t="shared" si="2"/>
        <v>3026.1121834978326</v>
      </c>
      <c r="H26" s="787">
        <f t="shared" si="2"/>
        <v>0</v>
      </c>
      <c r="I26" s="787">
        <f t="shared" si="2"/>
        <v>0</v>
      </c>
      <c r="J26" s="787">
        <f t="shared" si="2"/>
        <v>0</v>
      </c>
      <c r="K26" s="787">
        <f t="shared" si="2"/>
        <v>182.85452719316822</v>
      </c>
      <c r="L26" s="787">
        <f t="shared" si="2"/>
        <v>0</v>
      </c>
      <c r="M26" s="787">
        <f t="shared" si="2"/>
        <v>0</v>
      </c>
      <c r="N26" s="787">
        <f t="shared" si="2"/>
        <v>0</v>
      </c>
      <c r="O26" s="787">
        <f t="shared" si="2"/>
        <v>0</v>
      </c>
      <c r="P26" s="787">
        <f t="shared" si="2"/>
        <v>0</v>
      </c>
      <c r="Q26" s="787">
        <f t="shared" si="2"/>
        <v>0</v>
      </c>
      <c r="R26" s="787">
        <f t="shared" si="2"/>
        <v>6344.4789901645181</v>
      </c>
      <c r="S26" s="67"/>
    </row>
    <row r="27" spans="1:19" s="448" customFormat="1" ht="17.25" thickTop="1" thickBot="1">
      <c r="A27" s="681" t="s">
        <v>115</v>
      </c>
      <c r="B27" s="780"/>
      <c r="C27" s="682">
        <f ca="1">C22+C16+C26</f>
        <v>200295.00128196698</v>
      </c>
      <c r="D27" s="682">
        <f t="shared" ref="D27:R27" ca="1" si="3">D22+D16+D26</f>
        <v>34.071428571428577</v>
      </c>
      <c r="E27" s="682">
        <f t="shared" ca="1" si="3"/>
        <v>89113.589371848313</v>
      </c>
      <c r="F27" s="682">
        <f t="shared" si="3"/>
        <v>24553.730303310233</v>
      </c>
      <c r="G27" s="682">
        <f t="shared" ca="1" si="3"/>
        <v>68977.475181257905</v>
      </c>
      <c r="H27" s="682">
        <f t="shared" si="3"/>
        <v>113365.19514220343</v>
      </c>
      <c r="I27" s="682">
        <f t="shared" si="3"/>
        <v>20022.061557635181</v>
      </c>
      <c r="J27" s="682">
        <f t="shared" si="3"/>
        <v>0</v>
      </c>
      <c r="K27" s="682">
        <f t="shared" si="3"/>
        <v>349.40384943056932</v>
      </c>
      <c r="L27" s="682">
        <f t="shared" si="3"/>
        <v>0</v>
      </c>
      <c r="M27" s="682">
        <f t="shared" ca="1" si="3"/>
        <v>0</v>
      </c>
      <c r="N27" s="682">
        <f t="shared" si="3"/>
        <v>7181.7338965283716</v>
      </c>
      <c r="O27" s="682">
        <f t="shared" ca="1" si="3"/>
        <v>20882.994071015903</v>
      </c>
      <c r="P27" s="682">
        <f t="shared" si="3"/>
        <v>617.51666666666677</v>
      </c>
      <c r="Q27" s="682">
        <f t="shared" si="3"/>
        <v>1086.8</v>
      </c>
      <c r="R27" s="682">
        <f t="shared" ca="1" si="3"/>
        <v>546479.57275043498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5529.5188799615416</v>
      </c>
      <c r="D40" s="991">
        <f ca="1">tertiair!C20</f>
        <v>8.0969747899159685</v>
      </c>
      <c r="E40" s="991">
        <f ca="1">tertiair!D20</f>
        <v>4097.5838602011427</v>
      </c>
      <c r="F40" s="991">
        <f>tertiair!E20</f>
        <v>55.877755756125673</v>
      </c>
      <c r="G40" s="991">
        <f ca="1">tertiair!F20</f>
        <v>1069.0748044348052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10760.152275143531</v>
      </c>
    </row>
    <row r="41" spans="1:18">
      <c r="A41" s="797" t="s">
        <v>224</v>
      </c>
      <c r="B41" s="804"/>
      <c r="C41" s="991">
        <f ca="1">huishoudens!B12</f>
        <v>6112.8872153785196</v>
      </c>
      <c r="D41" s="991">
        <f ca="1">huishoudens!C12</f>
        <v>0</v>
      </c>
      <c r="E41" s="991">
        <f>huishoudens!D12</f>
        <v>9436.8784711080007</v>
      </c>
      <c r="F41" s="991">
        <f>huishoudens!E12</f>
        <v>5059.6176292751616</v>
      </c>
      <c r="G41" s="991">
        <f>huishoudens!F12</f>
        <v>12816.44058310846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33425.823898870141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25939.664908944593</v>
      </c>
      <c r="D43" s="991">
        <f ca="1">industrie!C22</f>
        <v>0</v>
      </c>
      <c r="E43" s="991">
        <f>industrie!D22</f>
        <v>4288.1848052999994</v>
      </c>
      <c r="F43" s="991">
        <f>industrie!E22</f>
        <v>380.21323472939429</v>
      </c>
      <c r="G43" s="991">
        <f>industrie!F22</f>
        <v>3723.4985328586749</v>
      </c>
      <c r="H43" s="991">
        <f>industrie!G22</f>
        <v>0</v>
      </c>
      <c r="I43" s="991">
        <f>industrie!H22</f>
        <v>0</v>
      </c>
      <c r="J43" s="991">
        <f>industrie!I22</f>
        <v>0</v>
      </c>
      <c r="K43" s="991">
        <f>industrie!J22</f>
        <v>58.958460072039983</v>
      </c>
      <c r="L43" s="991">
        <f>industrie!K22</f>
        <v>0</v>
      </c>
      <c r="M43" s="991">
        <f>industrie!L22</f>
        <v>0</v>
      </c>
      <c r="N43" s="991">
        <f>industrie!M22</f>
        <v>0</v>
      </c>
      <c r="O43" s="991">
        <f>industrie!N22</f>
        <v>0</v>
      </c>
      <c r="P43" s="991">
        <f>industrie!O22</f>
        <v>0</v>
      </c>
      <c r="Q43" s="749">
        <f>industrie!P22</f>
        <v>0</v>
      </c>
      <c r="R43" s="824">
        <f t="shared" ca="1" si="4"/>
        <v>34390.519941904706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37582.071004284655</v>
      </c>
      <c r="D46" s="707">
        <f t="shared" ref="D46:Q46" ca="1" si="5">SUM(D39:D45)</f>
        <v>8.0969747899159685</v>
      </c>
      <c r="E46" s="707">
        <f t="shared" ca="1" si="5"/>
        <v>17822.647136609143</v>
      </c>
      <c r="F46" s="707">
        <f t="shared" si="5"/>
        <v>5495.7086197606814</v>
      </c>
      <c r="G46" s="707">
        <f t="shared" ca="1" si="5"/>
        <v>17609.01392040194</v>
      </c>
      <c r="H46" s="707">
        <f t="shared" si="5"/>
        <v>0</v>
      </c>
      <c r="I46" s="707">
        <f t="shared" si="5"/>
        <v>0</v>
      </c>
      <c r="J46" s="707">
        <f t="shared" si="5"/>
        <v>0</v>
      </c>
      <c r="K46" s="707">
        <f t="shared" si="5"/>
        <v>58.958460072039983</v>
      </c>
      <c r="L46" s="707">
        <f t="shared" si="5"/>
        <v>0</v>
      </c>
      <c r="M46" s="707">
        <f t="shared" ca="1" si="5"/>
        <v>0</v>
      </c>
      <c r="N46" s="707">
        <f t="shared" si="5"/>
        <v>0</v>
      </c>
      <c r="O46" s="707">
        <f t="shared" ca="1" si="5"/>
        <v>0</v>
      </c>
      <c r="P46" s="707">
        <f t="shared" si="5"/>
        <v>0</v>
      </c>
      <c r="Q46" s="707">
        <f t="shared" si="5"/>
        <v>0</v>
      </c>
      <c r="R46" s="707">
        <f ca="1">SUM(R39:R45)</f>
        <v>78576.496115918388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516.75714970706633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516.75714970706633</v>
      </c>
    </row>
    <row r="50" spans="1:18">
      <c r="A50" s="800" t="s">
        <v>306</v>
      </c>
      <c r="B50" s="810"/>
      <c r="C50" s="678">
        <f ca="1">transport!B18</f>
        <v>2.9030215118924021</v>
      </c>
      <c r="D50" s="678">
        <f>transport!C18</f>
        <v>0</v>
      </c>
      <c r="E50" s="678">
        <f>transport!D18</f>
        <v>6.6150917562210783</v>
      </c>
      <c r="F50" s="678">
        <f>transport!E18</f>
        <v>75.480420748252698</v>
      </c>
      <c r="G50" s="678">
        <f>transport!F18</f>
        <v>0</v>
      </c>
      <c r="H50" s="678">
        <f>transport!G18</f>
        <v>29751.749953261253</v>
      </c>
      <c r="I50" s="678">
        <f>transport!H18</f>
        <v>4985.4933278511598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34822.241815128778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2.9030215118924021</v>
      </c>
      <c r="D52" s="707">
        <f t="shared" ref="D52:Q52" ca="1" si="6">SUM(D48:D51)</f>
        <v>0</v>
      </c>
      <c r="E52" s="707">
        <f t="shared" si="6"/>
        <v>6.6150917562210783</v>
      </c>
      <c r="F52" s="707">
        <f t="shared" si="6"/>
        <v>75.480420748252698</v>
      </c>
      <c r="G52" s="707">
        <f t="shared" si="6"/>
        <v>0</v>
      </c>
      <c r="H52" s="707">
        <f t="shared" si="6"/>
        <v>30268.50710296832</v>
      </c>
      <c r="I52" s="707">
        <f t="shared" si="6"/>
        <v>4985.4933278511598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35338.998964835846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226.37900984623141</v>
      </c>
      <c r="D54" s="678">
        <f ca="1">+landbouw!C12</f>
        <v>0</v>
      </c>
      <c r="E54" s="678">
        <f>+landbouw!D12</f>
        <v>16.824170748000004</v>
      </c>
      <c r="F54" s="678">
        <f>+landbouw!E12</f>
        <v>2.5077383424883934</v>
      </c>
      <c r="G54" s="678">
        <f>+landbouw!F12</f>
        <v>807.97195299392138</v>
      </c>
      <c r="H54" s="678">
        <f>+landbouw!G12</f>
        <v>0</v>
      </c>
      <c r="I54" s="678">
        <f>+landbouw!H12</f>
        <v>0</v>
      </c>
      <c r="J54" s="678">
        <f>+landbouw!I12</f>
        <v>0</v>
      </c>
      <c r="K54" s="678">
        <f>+landbouw!J12</f>
        <v>64.730502626381551</v>
      </c>
      <c r="L54" s="678">
        <f>+landbouw!K12</f>
        <v>0</v>
      </c>
      <c r="M54" s="678">
        <f>+landbouw!L12</f>
        <v>0</v>
      </c>
      <c r="N54" s="678">
        <f>+landbouw!M12</f>
        <v>0</v>
      </c>
      <c r="O54" s="678">
        <f>+landbouw!N12</f>
        <v>0</v>
      </c>
      <c r="P54" s="678">
        <f>+landbouw!O12</f>
        <v>0</v>
      </c>
      <c r="Q54" s="679">
        <f>+landbouw!P12</f>
        <v>0</v>
      </c>
      <c r="R54" s="706">
        <f ca="1">SUM(C54:Q54)</f>
        <v>1118.4133745570227</v>
      </c>
    </row>
    <row r="55" spans="1:18" ht="15" thickBot="1">
      <c r="A55" s="800" t="s">
        <v>849</v>
      </c>
      <c r="B55" s="810"/>
      <c r="C55" s="678">
        <f ca="1">C25*'EF ele_warmte'!B12</f>
        <v>205.33853304859534</v>
      </c>
      <c r="D55" s="678"/>
      <c r="E55" s="678">
        <f>E25*EF_CO2_aardgas</f>
        <v>154.858654</v>
      </c>
      <c r="F55" s="678"/>
      <c r="G55" s="678"/>
      <c r="H55" s="678"/>
      <c r="I55" s="678"/>
      <c r="J55" s="678"/>
      <c r="K55" s="678"/>
      <c r="L55" s="678"/>
      <c r="M55" s="678"/>
      <c r="N55" s="678"/>
      <c r="O55" s="678"/>
      <c r="P55" s="678"/>
      <c r="Q55" s="679"/>
      <c r="R55" s="706">
        <f ca="1">SUM(C55:Q55)</f>
        <v>360.19718704859531</v>
      </c>
    </row>
    <row r="56" spans="1:18" ht="15.75" thickBot="1">
      <c r="A56" s="798" t="s">
        <v>850</v>
      </c>
      <c r="B56" s="811"/>
      <c r="C56" s="707">
        <f ca="1">SUM(C54:C55)</f>
        <v>431.71754289482675</v>
      </c>
      <c r="D56" s="707">
        <f t="shared" ref="D56:Q56" ca="1" si="7">SUM(D54:D55)</f>
        <v>0</v>
      </c>
      <c r="E56" s="707">
        <f t="shared" si="7"/>
        <v>171.682824748</v>
      </c>
      <c r="F56" s="707">
        <f t="shared" si="7"/>
        <v>2.5077383424883934</v>
      </c>
      <c r="G56" s="707">
        <f t="shared" si="7"/>
        <v>807.97195299392138</v>
      </c>
      <c r="H56" s="707">
        <f t="shared" si="7"/>
        <v>0</v>
      </c>
      <c r="I56" s="707">
        <f t="shared" si="7"/>
        <v>0</v>
      </c>
      <c r="J56" s="707">
        <f t="shared" si="7"/>
        <v>0</v>
      </c>
      <c r="K56" s="707">
        <f t="shared" si="7"/>
        <v>64.730502626381551</v>
      </c>
      <c r="L56" s="707">
        <f t="shared" si="7"/>
        <v>0</v>
      </c>
      <c r="M56" s="707">
        <f t="shared" si="7"/>
        <v>0</v>
      </c>
      <c r="N56" s="707">
        <f t="shared" si="7"/>
        <v>0</v>
      </c>
      <c r="O56" s="707">
        <f t="shared" si="7"/>
        <v>0</v>
      </c>
      <c r="P56" s="707">
        <f t="shared" si="7"/>
        <v>0</v>
      </c>
      <c r="Q56" s="708">
        <f t="shared" si="7"/>
        <v>0</v>
      </c>
      <c r="R56" s="709">
        <f ca="1">SUM(R54:R55)</f>
        <v>1478.6105616056179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38016.691568691371</v>
      </c>
      <c r="D61" s="715">
        <f t="shared" ref="D61:Q61" ca="1" si="8">D46+D52+D56</f>
        <v>8.0969747899159685</v>
      </c>
      <c r="E61" s="715">
        <f t="shared" ca="1" si="8"/>
        <v>18000.945053113366</v>
      </c>
      <c r="F61" s="715">
        <f t="shared" si="8"/>
        <v>5573.696778851423</v>
      </c>
      <c r="G61" s="715">
        <f t="shared" ca="1" si="8"/>
        <v>18416.985873395861</v>
      </c>
      <c r="H61" s="715">
        <f t="shared" si="8"/>
        <v>30268.50710296832</v>
      </c>
      <c r="I61" s="715">
        <f t="shared" si="8"/>
        <v>4985.4933278511598</v>
      </c>
      <c r="J61" s="715">
        <f t="shared" si="8"/>
        <v>0</v>
      </c>
      <c r="K61" s="715">
        <f t="shared" si="8"/>
        <v>123.68896269842153</v>
      </c>
      <c r="L61" s="715">
        <f t="shared" si="8"/>
        <v>0</v>
      </c>
      <c r="M61" s="715">
        <f t="shared" ca="1" si="8"/>
        <v>0</v>
      </c>
      <c r="N61" s="715">
        <f t="shared" si="8"/>
        <v>0</v>
      </c>
      <c r="O61" s="715">
        <f t="shared" ca="1" si="8"/>
        <v>0</v>
      </c>
      <c r="P61" s="715">
        <f t="shared" si="8"/>
        <v>0</v>
      </c>
      <c r="Q61" s="715">
        <f t="shared" si="8"/>
        <v>0</v>
      </c>
      <c r="R61" s="715">
        <f ca="1">R46+R52+R56</f>
        <v>115394.10564235985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0.18980349646955519</v>
      </c>
      <c r="D63" s="756">
        <f t="shared" ca="1" si="9"/>
        <v>0.23764705882352943</v>
      </c>
      <c r="E63" s="1002">
        <f t="shared" ca="1" si="9"/>
        <v>0.20200000000000007</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19271.346907650841</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9004.2220831920531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23.85</v>
      </c>
      <c r="D76" s="1012">
        <f>'lokale energieproductie'!C8</f>
        <v>28.058823529411768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5.6678823529411773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28275.568990842894</v>
      </c>
      <c r="C78" s="730">
        <f>SUM(C72:C77)</f>
        <v>23.85</v>
      </c>
      <c r="D78" s="731">
        <f t="shared" ref="D78:H78" si="10">SUM(D76:D77)</f>
        <v>28.058823529411768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5.6678823529411773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34.071428571428577</v>
      </c>
      <c r="D87" s="752">
        <f>'lokale energieproductie'!C17</f>
        <v>40.084033613445385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8.0969747899159685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34.071428571428577</v>
      </c>
      <c r="D90" s="730">
        <f t="shared" ref="D90:H90" si="12">SUM(D87:D89)</f>
        <v>40.084033613445385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8.0969747899159685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19271.346907650841</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9004.2220831920531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23.85</v>
      </c>
      <c r="C8" s="545">
        <f>B48</f>
        <v>28.058823529411768</v>
      </c>
      <c r="D8" s="1022"/>
      <c r="E8" s="1022">
        <f>E48</f>
        <v>0</v>
      </c>
      <c r="F8" s="1023"/>
      <c r="G8" s="546"/>
      <c r="H8" s="1022">
        <f>I48</f>
        <v>0</v>
      </c>
      <c r="I8" s="1022">
        <f>G48+F48</f>
        <v>0</v>
      </c>
      <c r="J8" s="1022">
        <f>H48+D48+C48</f>
        <v>0</v>
      </c>
      <c r="K8" s="1022"/>
      <c r="L8" s="1022"/>
      <c r="M8" s="1022"/>
      <c r="N8" s="547"/>
      <c r="O8" s="548">
        <f>C8*$C$12+D8*$D$12+E8*$E$12+F8*$F$12+G8*$G$12+H8*$H$12+I8*$I$12+J8*$J$12</f>
        <v>5.6678823529411773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28299.418990842893</v>
      </c>
      <c r="C10" s="558">
        <f t="shared" ref="C10:L10" si="0">SUM(C8:C9)</f>
        <v>28.058823529411768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5.6678823529411773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34.071428571428577</v>
      </c>
      <c r="C17" s="570">
        <f>B49</f>
        <v>40.084033613445385</v>
      </c>
      <c r="D17" s="571"/>
      <c r="E17" s="571">
        <f>E49</f>
        <v>0</v>
      </c>
      <c r="F17" s="1028"/>
      <c r="G17" s="572"/>
      <c r="H17" s="570">
        <f>I49</f>
        <v>0</v>
      </c>
      <c r="I17" s="571">
        <f>G49+F49</f>
        <v>0</v>
      </c>
      <c r="J17" s="571">
        <f>H49+D49+C49</f>
        <v>0</v>
      </c>
      <c r="K17" s="571"/>
      <c r="L17" s="571"/>
      <c r="M17" s="571"/>
      <c r="N17" s="1029"/>
      <c r="O17" s="573">
        <f>C17*$C$22+E17*$E$22+H17*$H$22+I17*$I$22+J17*$J$22+D17*$D$22+F17*$F$22+G17*$G$22+K17*$K$22+L17*$L$22</f>
        <v>8.0969747899159685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34.071428571428577</v>
      </c>
      <c r="C20" s="557">
        <f>SUM(C17:C19)</f>
        <v>40.084033613445385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8.0969747899159685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71057</v>
      </c>
      <c r="C28" s="771">
        <v>3980</v>
      </c>
      <c r="D28" s="628" t="s">
        <v>913</v>
      </c>
      <c r="E28" s="627" t="s">
        <v>914</v>
      </c>
      <c r="F28" s="627" t="s">
        <v>915</v>
      </c>
      <c r="G28" s="627" t="s">
        <v>916</v>
      </c>
      <c r="H28" s="627" t="s">
        <v>917</v>
      </c>
      <c r="I28" s="627" t="s">
        <v>914</v>
      </c>
      <c r="J28" s="770">
        <v>39072</v>
      </c>
      <c r="K28" s="770">
        <v>39203</v>
      </c>
      <c r="L28" s="627" t="s">
        <v>918</v>
      </c>
      <c r="M28" s="627">
        <v>5.3</v>
      </c>
      <c r="N28" s="627">
        <v>23.85</v>
      </c>
      <c r="O28" s="627">
        <v>34.071428571428577</v>
      </c>
      <c r="P28" s="627">
        <v>68.142857142857153</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5.3</v>
      </c>
      <c r="N29" s="585">
        <f>SUM(N28:N28)</f>
        <v>23.85</v>
      </c>
      <c r="O29" s="585">
        <f>SUM(O28:O28)</f>
        <v>34.071428571428577</v>
      </c>
      <c r="P29" s="585">
        <f>SUM(P28:P28)</f>
        <v>68.142857142857153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5.3</v>
      </c>
      <c r="N31" s="585">
        <f ca="1">SUMIF($Z$28:AD28,"tertiair",N28:N28)</f>
        <v>23.85</v>
      </c>
      <c r="O31" s="585">
        <f ca="1">SUMIF($Z$28:AE28,"tertiair",O28:O28)</f>
        <v>34.071428571428577</v>
      </c>
      <c r="P31" s="585">
        <f ca="1">SUMIF($Z$28:AF28,"tertiair",P28:P28)</f>
        <v>68.142857142857153</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28.058823529411768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40.084033613445385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32206.399402969048</v>
      </c>
      <c r="C4" s="452">
        <f>huishoudens!C8</f>
        <v>0</v>
      </c>
      <c r="D4" s="452">
        <f>huishoudens!D8</f>
        <v>46717.220154000002</v>
      </c>
      <c r="E4" s="452">
        <f>huishoudens!E8</f>
        <v>22289.064446146087</v>
      </c>
      <c r="F4" s="452">
        <f>huishoudens!F8</f>
        <v>48001.650124001724</v>
      </c>
      <c r="G4" s="452">
        <f>huishoudens!G8</f>
        <v>0</v>
      </c>
      <c r="H4" s="452">
        <f>huishoudens!H8</f>
        <v>0</v>
      </c>
      <c r="I4" s="452">
        <f>huishoudens!I8</f>
        <v>0</v>
      </c>
      <c r="J4" s="452">
        <f>huishoudens!J8</f>
        <v>0</v>
      </c>
      <c r="K4" s="452">
        <f>huishoudens!K8</f>
        <v>0</v>
      </c>
      <c r="L4" s="452">
        <f>huishoudens!L8</f>
        <v>0</v>
      </c>
      <c r="M4" s="452">
        <f>huishoudens!M8</f>
        <v>0</v>
      </c>
      <c r="N4" s="452">
        <f>huishoudens!N8</f>
        <v>17004.938876553584</v>
      </c>
      <c r="O4" s="452">
        <f>huishoudens!O8</f>
        <v>614.3900000000001</v>
      </c>
      <c r="P4" s="453">
        <f>huishoudens!P8</f>
        <v>1067.7333333333333</v>
      </c>
      <c r="Q4" s="454">
        <f>SUM(B4:P4)</f>
        <v>167901.3963370038</v>
      </c>
    </row>
    <row r="5" spans="1:17">
      <c r="A5" s="451" t="s">
        <v>155</v>
      </c>
      <c r="B5" s="452">
        <f ca="1">tertiair!B16</f>
        <v>27682.160999999996</v>
      </c>
      <c r="C5" s="452">
        <f ca="1">tertiair!C16</f>
        <v>34.071428571428577</v>
      </c>
      <c r="D5" s="452">
        <f ca="1">tertiair!D16</f>
        <v>20285.06861485714</v>
      </c>
      <c r="E5" s="452">
        <f>tertiair!E16</f>
        <v>246.15751434416595</v>
      </c>
      <c r="F5" s="452">
        <f ca="1">tertiair!F16</f>
        <v>4004.0254847745509</v>
      </c>
      <c r="G5" s="452">
        <f>tertiair!G16</f>
        <v>0</v>
      </c>
      <c r="H5" s="452">
        <f>tertiair!H16</f>
        <v>0</v>
      </c>
      <c r="I5" s="452">
        <f>tertiair!I16</f>
        <v>0</v>
      </c>
      <c r="J5" s="452">
        <f>tertiair!J16</f>
        <v>0</v>
      </c>
      <c r="K5" s="452">
        <f>tertiair!K16</f>
        <v>0</v>
      </c>
      <c r="L5" s="452">
        <f ca="1">tertiair!L16</f>
        <v>0</v>
      </c>
      <c r="M5" s="452">
        <f>tertiair!M16</f>
        <v>0</v>
      </c>
      <c r="N5" s="452">
        <f ca="1">tertiair!N16</f>
        <v>2675.828451935683</v>
      </c>
      <c r="O5" s="452">
        <f>tertiair!O16</f>
        <v>3.1266666666666669</v>
      </c>
      <c r="P5" s="453">
        <f>tertiair!P16</f>
        <v>19.066666666666666</v>
      </c>
      <c r="Q5" s="451">
        <f t="shared" ref="Q5:Q14" ca="1" si="0">SUM(B5:P5)</f>
        <v>54949.505827816298</v>
      </c>
    </row>
    <row r="6" spans="1:17">
      <c r="A6" s="451" t="s">
        <v>193</v>
      </c>
      <c r="B6" s="452">
        <f>'openbare verlichting'!B8</f>
        <v>1450.7</v>
      </c>
      <c r="C6" s="452"/>
      <c r="D6" s="452"/>
      <c r="E6" s="452"/>
      <c r="F6" s="452"/>
      <c r="G6" s="452"/>
      <c r="H6" s="452"/>
      <c r="I6" s="452"/>
      <c r="J6" s="452"/>
      <c r="K6" s="452"/>
      <c r="L6" s="452"/>
      <c r="M6" s="452"/>
      <c r="N6" s="452"/>
      <c r="O6" s="452"/>
      <c r="P6" s="453"/>
      <c r="Q6" s="451">
        <f t="shared" si="0"/>
        <v>1450.7</v>
      </c>
    </row>
    <row r="7" spans="1:17">
      <c r="A7" s="451" t="s">
        <v>111</v>
      </c>
      <c r="B7" s="452">
        <f>landbouw!B8</f>
        <v>1192.702</v>
      </c>
      <c r="C7" s="452">
        <f>landbouw!C8</f>
        <v>0</v>
      </c>
      <c r="D7" s="452">
        <f>landbouw!D8</f>
        <v>83.287974000000006</v>
      </c>
      <c r="E7" s="452">
        <f>landbouw!E8</f>
        <v>11.047305473517151</v>
      </c>
      <c r="F7" s="452">
        <f>landbouw!F8</f>
        <v>3026.1121834978326</v>
      </c>
      <c r="G7" s="452">
        <f>landbouw!G8</f>
        <v>0</v>
      </c>
      <c r="H7" s="452">
        <f>landbouw!H8</f>
        <v>0</v>
      </c>
      <c r="I7" s="452">
        <f>landbouw!I8</f>
        <v>0</v>
      </c>
      <c r="J7" s="452">
        <f>landbouw!J8</f>
        <v>182.85452719316822</v>
      </c>
      <c r="K7" s="452">
        <f>landbouw!K8</f>
        <v>0</v>
      </c>
      <c r="L7" s="452">
        <f>landbouw!L8</f>
        <v>0</v>
      </c>
      <c r="M7" s="452">
        <f>landbouw!M8</f>
        <v>0</v>
      </c>
      <c r="N7" s="452">
        <f>landbouw!N8</f>
        <v>0</v>
      </c>
      <c r="O7" s="452">
        <f>landbouw!O8</f>
        <v>0</v>
      </c>
      <c r="P7" s="453">
        <f>landbouw!P8</f>
        <v>0</v>
      </c>
      <c r="Q7" s="451">
        <f t="shared" si="0"/>
        <v>4496.0039901645177</v>
      </c>
    </row>
    <row r="8" spans="1:17">
      <c r="A8" s="451" t="s">
        <v>649</v>
      </c>
      <c r="B8" s="452">
        <f>industrie!B18</f>
        <v>136665.89599999998</v>
      </c>
      <c r="C8" s="452">
        <f>industrie!C18</f>
        <v>0</v>
      </c>
      <c r="D8" s="452">
        <f>industrie!D18</f>
        <v>21228.637649999997</v>
      </c>
      <c r="E8" s="452">
        <f>industrie!E18</f>
        <v>1674.9481706140716</v>
      </c>
      <c r="F8" s="452">
        <f>industrie!F18</f>
        <v>13945.687388983801</v>
      </c>
      <c r="G8" s="452">
        <f>industrie!G18</f>
        <v>0</v>
      </c>
      <c r="H8" s="452">
        <f>industrie!H18</f>
        <v>0</v>
      </c>
      <c r="I8" s="452">
        <f>industrie!I18</f>
        <v>0</v>
      </c>
      <c r="J8" s="452">
        <f>industrie!J18</f>
        <v>166.5493222374011</v>
      </c>
      <c r="K8" s="452">
        <f>industrie!K18</f>
        <v>0</v>
      </c>
      <c r="L8" s="452">
        <f>industrie!L18</f>
        <v>0</v>
      </c>
      <c r="M8" s="452">
        <f>industrie!M18</f>
        <v>0</v>
      </c>
      <c r="N8" s="452">
        <f>industrie!N18</f>
        <v>1202.226742526635</v>
      </c>
      <c r="O8" s="452">
        <f>industrie!O18</f>
        <v>0</v>
      </c>
      <c r="P8" s="453">
        <f>industrie!P18</f>
        <v>0</v>
      </c>
      <c r="Q8" s="451">
        <f t="shared" si="0"/>
        <v>174883.94527436187</v>
      </c>
    </row>
    <row r="9" spans="1:17" s="457" customFormat="1">
      <c r="A9" s="455" t="s">
        <v>570</v>
      </c>
      <c r="B9" s="456">
        <f>transport!B14</f>
        <v>15.294878997964359</v>
      </c>
      <c r="C9" s="456">
        <f>transport!C14</f>
        <v>0</v>
      </c>
      <c r="D9" s="456">
        <f>transport!D14</f>
        <v>32.747978991193456</v>
      </c>
      <c r="E9" s="456">
        <f>transport!E14</f>
        <v>332.51286673239071</v>
      </c>
      <c r="F9" s="456">
        <f>transport!F14</f>
        <v>0</v>
      </c>
      <c r="G9" s="456">
        <f>transport!G14</f>
        <v>111429.77510584738</v>
      </c>
      <c r="H9" s="456">
        <f>transport!H14</f>
        <v>20022.061557635181</v>
      </c>
      <c r="I9" s="456">
        <f>transport!I14</f>
        <v>0</v>
      </c>
      <c r="J9" s="456">
        <f>transport!J14</f>
        <v>0</v>
      </c>
      <c r="K9" s="456">
        <f>transport!K14</f>
        <v>0</v>
      </c>
      <c r="L9" s="456">
        <f>transport!L14</f>
        <v>0</v>
      </c>
      <c r="M9" s="456">
        <f>transport!M14</f>
        <v>7071.1111781034933</v>
      </c>
      <c r="N9" s="456">
        <f>transport!N14</f>
        <v>0</v>
      </c>
      <c r="O9" s="456">
        <f>transport!O14</f>
        <v>0</v>
      </c>
      <c r="P9" s="456">
        <f>transport!P14</f>
        <v>0</v>
      </c>
      <c r="Q9" s="455">
        <f>SUM(B9:P9)</f>
        <v>138903.5035663076</v>
      </c>
    </row>
    <row r="10" spans="1:17">
      <c r="A10" s="451" t="s">
        <v>560</v>
      </c>
      <c r="B10" s="452">
        <f>transport!B54</f>
        <v>0</v>
      </c>
      <c r="C10" s="452">
        <f>transport!C54</f>
        <v>0</v>
      </c>
      <c r="D10" s="452">
        <f>transport!D54</f>
        <v>0</v>
      </c>
      <c r="E10" s="452">
        <f>transport!E54</f>
        <v>0</v>
      </c>
      <c r="F10" s="452">
        <f>transport!F54</f>
        <v>0</v>
      </c>
      <c r="G10" s="452">
        <f>transport!G54</f>
        <v>1935.4200363560535</v>
      </c>
      <c r="H10" s="452">
        <f>transport!H54</f>
        <v>0</v>
      </c>
      <c r="I10" s="452">
        <f>transport!I54</f>
        <v>0</v>
      </c>
      <c r="J10" s="452">
        <f>transport!J54</f>
        <v>0</v>
      </c>
      <c r="K10" s="452">
        <f>transport!K54</f>
        <v>0</v>
      </c>
      <c r="L10" s="452">
        <f>transport!L54</f>
        <v>0</v>
      </c>
      <c r="M10" s="452">
        <f>transport!M54</f>
        <v>110.62271842487819</v>
      </c>
      <c r="N10" s="452">
        <f>transport!N54</f>
        <v>0</v>
      </c>
      <c r="O10" s="452">
        <f>transport!O54</f>
        <v>0</v>
      </c>
      <c r="P10" s="453">
        <f>transport!P54</f>
        <v>0</v>
      </c>
      <c r="Q10" s="451">
        <f t="shared" si="0"/>
        <v>2046.0427547809318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1081.848</v>
      </c>
      <c r="C14" s="459"/>
      <c r="D14" s="459">
        <f>'SEAP template'!E25</f>
        <v>766.62699999999995</v>
      </c>
      <c r="E14" s="459"/>
      <c r="F14" s="459"/>
      <c r="G14" s="459"/>
      <c r="H14" s="459"/>
      <c r="I14" s="459"/>
      <c r="J14" s="459"/>
      <c r="K14" s="459"/>
      <c r="L14" s="459"/>
      <c r="M14" s="459"/>
      <c r="N14" s="459"/>
      <c r="O14" s="459"/>
      <c r="P14" s="460"/>
      <c r="Q14" s="451">
        <f t="shared" si="0"/>
        <v>1848.4749999999999</v>
      </c>
    </row>
    <row r="15" spans="1:17" s="461" customFormat="1">
      <c r="A15" s="1017" t="s">
        <v>564</v>
      </c>
      <c r="B15" s="957">
        <f ca="1">SUM(B4:B14)</f>
        <v>200295.00128196698</v>
      </c>
      <c r="C15" s="957">
        <f t="shared" ref="C15:Q15" ca="1" si="1">SUM(C4:C14)</f>
        <v>34.071428571428577</v>
      </c>
      <c r="D15" s="957">
        <f t="shared" ca="1" si="1"/>
        <v>89113.589371848313</v>
      </c>
      <c r="E15" s="957">
        <f t="shared" si="1"/>
        <v>24553.730303310233</v>
      </c>
      <c r="F15" s="957">
        <f t="shared" ca="1" si="1"/>
        <v>68977.475181257905</v>
      </c>
      <c r="G15" s="957">
        <f t="shared" si="1"/>
        <v>113365.19514220343</v>
      </c>
      <c r="H15" s="957">
        <f t="shared" si="1"/>
        <v>20022.061557635181</v>
      </c>
      <c r="I15" s="957">
        <f t="shared" si="1"/>
        <v>0</v>
      </c>
      <c r="J15" s="957">
        <f t="shared" si="1"/>
        <v>349.40384943056932</v>
      </c>
      <c r="K15" s="957">
        <f t="shared" si="1"/>
        <v>0</v>
      </c>
      <c r="L15" s="957">
        <f t="shared" ca="1" si="1"/>
        <v>0</v>
      </c>
      <c r="M15" s="957">
        <f t="shared" si="1"/>
        <v>7181.7338965283716</v>
      </c>
      <c r="N15" s="957">
        <f t="shared" ca="1" si="1"/>
        <v>20882.994071015903</v>
      </c>
      <c r="O15" s="957">
        <f t="shared" si="1"/>
        <v>617.51666666666677</v>
      </c>
      <c r="P15" s="957">
        <f t="shared" si="1"/>
        <v>1086.8</v>
      </c>
      <c r="Q15" s="957">
        <f t="shared" ca="1" si="1"/>
        <v>546479.57275043509</v>
      </c>
    </row>
    <row r="17" spans="1:17">
      <c r="A17" s="462" t="s">
        <v>565</v>
      </c>
      <c r="B17" s="761">
        <f ca="1">huishoudens!B10</f>
        <v>0.18980349646955519</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6112.8872153785196</v>
      </c>
      <c r="C22" s="452">
        <f t="shared" ref="C22:C32" ca="1" si="3">C4*$C$17</f>
        <v>0</v>
      </c>
      <c r="D22" s="452">
        <f t="shared" ref="D22:D32" si="4">D4*$D$17</f>
        <v>9436.8784711080007</v>
      </c>
      <c r="E22" s="452">
        <f t="shared" ref="E22:E32" si="5">E4*$E$17</f>
        <v>5059.6176292751616</v>
      </c>
      <c r="F22" s="452">
        <f t="shared" ref="F22:F32" si="6">F4*$F$17</f>
        <v>12816.44058310846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33425.823898870141</v>
      </c>
    </row>
    <row r="23" spans="1:17">
      <c r="A23" s="451" t="s">
        <v>155</v>
      </c>
      <c r="B23" s="452">
        <f t="shared" ca="1" si="2"/>
        <v>5254.170947633158</v>
      </c>
      <c r="C23" s="452">
        <f t="shared" ca="1" si="3"/>
        <v>8.0969747899159685</v>
      </c>
      <c r="D23" s="452">
        <f t="shared" ca="1" si="4"/>
        <v>4097.5838602011427</v>
      </c>
      <c r="E23" s="452">
        <f t="shared" si="5"/>
        <v>55.877755756125673</v>
      </c>
      <c r="F23" s="452">
        <f t="shared" ca="1" si="6"/>
        <v>1069.0748044348052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10484.804342815149</v>
      </c>
    </row>
    <row r="24" spans="1:17">
      <c r="A24" s="451" t="s">
        <v>193</v>
      </c>
      <c r="B24" s="452">
        <f t="shared" ca="1" si="2"/>
        <v>275.34793232838371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275.34793232838371</v>
      </c>
    </row>
    <row r="25" spans="1:17">
      <c r="A25" s="451" t="s">
        <v>111</v>
      </c>
      <c r="B25" s="452">
        <f t="shared" ca="1" si="2"/>
        <v>226.37900984623141</v>
      </c>
      <c r="C25" s="452">
        <f t="shared" ca="1" si="3"/>
        <v>0</v>
      </c>
      <c r="D25" s="452">
        <f t="shared" si="4"/>
        <v>16.824170748000004</v>
      </c>
      <c r="E25" s="452">
        <f t="shared" si="5"/>
        <v>2.5077383424883934</v>
      </c>
      <c r="F25" s="452">
        <f t="shared" si="6"/>
        <v>807.97195299392138</v>
      </c>
      <c r="G25" s="452">
        <f t="shared" si="7"/>
        <v>0</v>
      </c>
      <c r="H25" s="452">
        <f t="shared" si="8"/>
        <v>0</v>
      </c>
      <c r="I25" s="452">
        <f t="shared" si="9"/>
        <v>0</v>
      </c>
      <c r="J25" s="452">
        <f t="shared" si="10"/>
        <v>64.730502626381551</v>
      </c>
      <c r="K25" s="452">
        <f t="shared" si="11"/>
        <v>0</v>
      </c>
      <c r="L25" s="452">
        <f t="shared" si="12"/>
        <v>0</v>
      </c>
      <c r="M25" s="452">
        <f t="shared" si="13"/>
        <v>0</v>
      </c>
      <c r="N25" s="452">
        <f t="shared" si="14"/>
        <v>0</v>
      </c>
      <c r="O25" s="452">
        <f t="shared" si="15"/>
        <v>0</v>
      </c>
      <c r="P25" s="453">
        <f t="shared" si="16"/>
        <v>0</v>
      </c>
      <c r="Q25" s="451">
        <f t="shared" ca="1" si="17"/>
        <v>1118.4133745570227</v>
      </c>
    </row>
    <row r="26" spans="1:17">
      <c r="A26" s="451" t="s">
        <v>649</v>
      </c>
      <c r="B26" s="452">
        <f t="shared" ca="1" si="2"/>
        <v>25939.664908944593</v>
      </c>
      <c r="C26" s="452">
        <f t="shared" ca="1" si="3"/>
        <v>0</v>
      </c>
      <c r="D26" s="452">
        <f t="shared" si="4"/>
        <v>4288.1848052999994</v>
      </c>
      <c r="E26" s="452">
        <f t="shared" si="5"/>
        <v>380.21323472939429</v>
      </c>
      <c r="F26" s="452">
        <f t="shared" si="6"/>
        <v>3723.4985328586749</v>
      </c>
      <c r="G26" s="452">
        <f t="shared" si="7"/>
        <v>0</v>
      </c>
      <c r="H26" s="452">
        <f t="shared" si="8"/>
        <v>0</v>
      </c>
      <c r="I26" s="452">
        <f t="shared" si="9"/>
        <v>0</v>
      </c>
      <c r="J26" s="452">
        <f t="shared" si="10"/>
        <v>58.958460072039983</v>
      </c>
      <c r="K26" s="452">
        <f t="shared" si="11"/>
        <v>0</v>
      </c>
      <c r="L26" s="452">
        <f t="shared" si="12"/>
        <v>0</v>
      </c>
      <c r="M26" s="452">
        <f t="shared" si="13"/>
        <v>0</v>
      </c>
      <c r="N26" s="452">
        <f t="shared" si="14"/>
        <v>0</v>
      </c>
      <c r="O26" s="452">
        <f t="shared" si="15"/>
        <v>0</v>
      </c>
      <c r="P26" s="453">
        <f t="shared" si="16"/>
        <v>0</v>
      </c>
      <c r="Q26" s="451">
        <f t="shared" ca="1" si="17"/>
        <v>34390.519941904706</v>
      </c>
    </row>
    <row r="27" spans="1:17" s="457" customFormat="1">
      <c r="A27" s="455" t="s">
        <v>570</v>
      </c>
      <c r="B27" s="755">
        <f t="shared" ca="1" si="2"/>
        <v>2.9030215118924021</v>
      </c>
      <c r="C27" s="456">
        <f t="shared" ca="1" si="3"/>
        <v>0</v>
      </c>
      <c r="D27" s="456">
        <f t="shared" si="4"/>
        <v>6.6150917562210783</v>
      </c>
      <c r="E27" s="456">
        <f t="shared" si="5"/>
        <v>75.480420748252698</v>
      </c>
      <c r="F27" s="456">
        <f t="shared" si="6"/>
        <v>0</v>
      </c>
      <c r="G27" s="456">
        <f t="shared" si="7"/>
        <v>29751.749953261253</v>
      </c>
      <c r="H27" s="456">
        <f t="shared" si="8"/>
        <v>4985.4933278511598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34822.241815128778</v>
      </c>
    </row>
    <row r="28" spans="1:17">
      <c r="A28" s="451" t="s">
        <v>560</v>
      </c>
      <c r="B28" s="452">
        <f t="shared" ca="1" si="2"/>
        <v>0</v>
      </c>
      <c r="C28" s="452">
        <f t="shared" ca="1" si="3"/>
        <v>0</v>
      </c>
      <c r="D28" s="452">
        <f t="shared" si="4"/>
        <v>0</v>
      </c>
      <c r="E28" s="452">
        <f t="shared" si="5"/>
        <v>0</v>
      </c>
      <c r="F28" s="452">
        <f t="shared" si="6"/>
        <v>0</v>
      </c>
      <c r="G28" s="452">
        <f t="shared" si="7"/>
        <v>516.75714970706633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516.75714970706633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205.33853304859534</v>
      </c>
      <c r="C32" s="452">
        <f t="shared" ca="1" si="3"/>
        <v>0</v>
      </c>
      <c r="D32" s="452">
        <f t="shared" si="4"/>
        <v>154.858654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360.19718704859531</v>
      </c>
    </row>
    <row r="33" spans="1:17" s="461" customFormat="1">
      <c r="A33" s="1017" t="s">
        <v>564</v>
      </c>
      <c r="B33" s="957">
        <f ca="1">SUM(B22:B32)</f>
        <v>38016.691568691378</v>
      </c>
      <c r="C33" s="957">
        <f t="shared" ref="C33:Q33" ca="1" si="18">SUM(C22:C32)</f>
        <v>8.0969747899159685</v>
      </c>
      <c r="D33" s="957">
        <f t="shared" ca="1" si="18"/>
        <v>18000.945053113363</v>
      </c>
      <c r="E33" s="957">
        <f t="shared" si="18"/>
        <v>5573.696778851423</v>
      </c>
      <c r="F33" s="957">
        <f t="shared" ca="1" si="18"/>
        <v>18416.985873395861</v>
      </c>
      <c r="G33" s="957">
        <f t="shared" si="18"/>
        <v>30268.50710296832</v>
      </c>
      <c r="H33" s="957">
        <f t="shared" si="18"/>
        <v>4985.4933278511598</v>
      </c>
      <c r="I33" s="957">
        <f t="shared" si="18"/>
        <v>0</v>
      </c>
      <c r="J33" s="957">
        <f t="shared" si="18"/>
        <v>123.68896269842153</v>
      </c>
      <c r="K33" s="957">
        <f t="shared" si="18"/>
        <v>0</v>
      </c>
      <c r="L33" s="957">
        <f t="shared" ca="1" si="18"/>
        <v>0</v>
      </c>
      <c r="M33" s="957">
        <f t="shared" si="18"/>
        <v>0</v>
      </c>
      <c r="N33" s="957">
        <f t="shared" ca="1" si="18"/>
        <v>0</v>
      </c>
      <c r="O33" s="957">
        <f t="shared" si="18"/>
        <v>0</v>
      </c>
      <c r="P33" s="957">
        <f t="shared" si="18"/>
        <v>0</v>
      </c>
      <c r="Q33" s="957">
        <f t="shared" ca="1" si="18"/>
        <v>115394.10564235983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19271.346907650841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9004.2220831920531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23.85</v>
      </c>
      <c r="D8" s="1034">
        <f>'SEAP template'!D76</f>
        <v>28.058823529411768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5.6678823529411773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28275.568990842894</v>
      </c>
      <c r="C10" s="1038">
        <f>SUM(C4:C9)</f>
        <v>23.85</v>
      </c>
      <c r="D10" s="1038">
        <f t="shared" ref="D10:H10" si="0">SUM(D8:D9)</f>
        <v>28.058823529411768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5.6678823529411773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0.18980349646955519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34.071428571428577</v>
      </c>
      <c r="D17" s="1035">
        <f>'SEAP template'!D87</f>
        <v>40.084033613445385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8.0969747899159685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34.071428571428577</v>
      </c>
      <c r="D20" s="1038">
        <f t="shared" ref="D20:H20" si="2">SUM(D17:D19)</f>
        <v>40.084033613445385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8.0969747899159685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0.18980349646955519</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2020-06-20T16:11:47Z</dcterms:modified>
</cp:coreProperties>
</file>