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I9" i="18" s="1"/>
  <c r="S40" i="18"/>
  <c r="E9" i="18" s="1"/>
  <c r="R40" i="18"/>
  <c r="Q40" i="18"/>
  <c r="P40" i="18"/>
  <c r="C9" i="18" s="1"/>
  <c r="O40" i="18"/>
  <c r="N40" i="18"/>
  <c r="B9" i="18" s="1"/>
  <c r="M40" i="18"/>
  <c r="W36" i="18"/>
  <c r="V36" i="18"/>
  <c r="U36" i="18"/>
  <c r="T36" i="18"/>
  <c r="S36" i="18"/>
  <c r="F6" i="17" s="1"/>
  <c r="R36" i="18"/>
  <c r="Q36" i="18"/>
  <c r="P36" i="18"/>
  <c r="O36" i="18"/>
  <c r="N36" i="18"/>
  <c r="M36" i="18"/>
  <c r="W35" i="18"/>
  <c r="V35" i="18"/>
  <c r="U35" i="18"/>
  <c r="T35" i="18"/>
  <c r="S35" i="18"/>
  <c r="R35" i="18"/>
  <c r="Q35" i="18"/>
  <c r="P35" i="18"/>
  <c r="O35" i="18"/>
  <c r="C13" i="15" s="1"/>
  <c r="N35" i="18"/>
  <c r="M35" i="18"/>
  <c r="W34" i="18"/>
  <c r="V34" i="18"/>
  <c r="U34" i="18"/>
  <c r="T34" i="18"/>
  <c r="S34" i="18"/>
  <c r="R34" i="18"/>
  <c r="Q34" i="18"/>
  <c r="P34" i="18"/>
  <c r="O34" i="18"/>
  <c r="N34" i="18"/>
  <c r="M34" i="18"/>
  <c r="W33" i="18"/>
  <c r="V33" i="18"/>
  <c r="U33" i="18"/>
  <c r="T33" i="18"/>
  <c r="S33" i="18"/>
  <c r="R33" i="18"/>
  <c r="Q33" i="18"/>
  <c r="P33" i="18"/>
  <c r="O33" i="18"/>
  <c r="B17" i="18" s="1"/>
  <c r="N33" i="18"/>
  <c r="B8" i="18" s="1"/>
  <c r="M33"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Q14" i="48" l="1"/>
  <c r="D14" i="48"/>
  <c r="D32" i="48" s="1"/>
  <c r="D13" i="15"/>
  <c r="L6" i="17"/>
  <c r="F20" i="18"/>
  <c r="F13" i="15"/>
  <c r="N6" i="17"/>
  <c r="E10" i="59"/>
  <c r="B49" i="18"/>
  <c r="C53" i="18" s="1"/>
  <c r="C6" i="17"/>
  <c r="J9" i="18"/>
  <c r="J77" i="14" s="1"/>
  <c r="J9" i="59" s="1"/>
  <c r="K20" i="18"/>
  <c r="L10" i="59"/>
  <c r="B16" i="16"/>
  <c r="C49" i="18"/>
  <c r="E52"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3"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53" i="18" l="1"/>
  <c r="H53" i="18"/>
  <c r="E53" i="18"/>
  <c r="E17" i="18" s="1"/>
  <c r="E20" i="18" s="1"/>
  <c r="G78" i="14"/>
  <c r="B52" i="18"/>
  <c r="C8" i="18" s="1"/>
  <c r="D76" i="14" s="1"/>
  <c r="D8" i="59" s="1"/>
  <c r="D10" i="59" s="1"/>
  <c r="H52" i="18"/>
  <c r="F52" i="18"/>
  <c r="C52" i="18"/>
  <c r="I52" i="18"/>
  <c r="H8" i="18" s="1"/>
  <c r="M76" i="14" s="1"/>
  <c r="D52" i="18"/>
  <c r="B53" i="18"/>
  <c r="C17" i="18" s="1"/>
  <c r="D87" i="14" s="1"/>
  <c r="D17" i="59" s="1"/>
  <c r="D20" i="59" s="1"/>
  <c r="F53" i="18"/>
  <c r="O9" i="18"/>
  <c r="G53" i="18"/>
  <c r="J17" i="18"/>
  <c r="J87" i="14" s="1"/>
  <c r="G52"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4" i="48"/>
  <c r="P22" i="48" s="1"/>
  <c r="Q11" i="14"/>
  <c r="J15" i="16"/>
  <c r="B7" i="48"/>
  <c r="C24" i="14"/>
  <c r="C26" i="14" s="1"/>
  <c r="D4" i="48"/>
  <c r="D22" i="48" s="1"/>
  <c r="E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E7" i="48"/>
  <c r="E25" i="48" s="1"/>
  <c r="F24" i="14"/>
  <c r="F26" i="14"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33" i="48" l="1"/>
  <c r="J15" i="48"/>
  <c r="E8" i="48"/>
  <c r="E26" i="48" s="1"/>
  <c r="E33" i="48" s="1"/>
  <c r="F13" i="14"/>
  <c r="F16" i="14" s="1"/>
  <c r="F27" i="14" s="1"/>
  <c r="F63" i="14" s="1"/>
  <c r="J22" i="16"/>
  <c r="K43" i="14" s="1"/>
  <c r="K46" i="14" s="1"/>
  <c r="K61" i="14" s="1"/>
  <c r="K63" i="14" s="1"/>
  <c r="K13" i="14"/>
  <c r="K16" i="14" s="1"/>
  <c r="K27" i="14" s="1"/>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<sst xmlns="http://schemas.openxmlformats.org/spreadsheetml/2006/main" count="2488" uniqueCount="938">
  <si>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</si>
  <si>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</si>
  <si>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</si>
  <si>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</si>
  <si>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</si>
  <si>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</si>
  <si>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</si>
  <si>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</si>
  <si>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</si>
  <si>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</si>
  <si>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</si>
  <si>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</si>
  <si>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</si>
  <si>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</si>
  <si>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</si>
  <si>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</si>
  <si>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</si>
  <si>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</si>
  <si>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</si>
  <si>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</si>
  <si>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</si>
  <si>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</si>
  <si>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</si>
  <si>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</si>
  <si>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</si>
  <si>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</si>
  <si>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</si>
  <si>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</si>
  <si>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</si>
  <si>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</si>
  <si>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</si>
  <si>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</si>
  <si>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</si>
  <si>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</si>
  <si>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</si>
  <si>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</si>
  <si>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</si>
  <si>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</si>
  <si>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</si>
  <si>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</si>
  <si>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</si>
  <si>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</si>
  <si>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</si>
  <si>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</si>
  <si>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</si>
  <si>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</si>
  <si>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</si>
  <si>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</si>
  <si>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</si>
  <si>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</si>
  <si>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</si>
  <si>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</si>
  <si>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</si>
  <si>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</si>
  <si>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</si>
  <si>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</si>
  <si>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</si>
  <si>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</si>
  <si>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</si>
  <si>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</si>
  <si>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</si>
  <si>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</si>
  <si>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</si>
  <si>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</si>
  <si>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</si>
  <si>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</si>
  <si>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</si>
  <si>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</si>
  <si>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</si>
  <si>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</si>
  <si>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</si>
  <si>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</si>
  <si>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</si>
  <si>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</si>
  <si>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</si>
  <si>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</si>
  <si>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</si>
  <si>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</si>
  <si>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</si>
  <si>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</si>
  <si>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</si>
  <si>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</si>
  <si>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</si>
  <si>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</si>
  <si>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</si>
  <si>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</si>
  <si>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</si>
  <si>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</si>
  <si>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</si>
  <si>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</si>
  <si>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</si>
  <si>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</si>
  <si>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</si>
  <si>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</si>
  <si>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</si>
  <si>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</si>
  <si>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</si>
  <si>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</si>
  <si>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</si>
  <si>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</si>
  <si>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</si>
  <si>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</si>
  <si>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</si>
  <si>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</si>
  <si>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</si>
  <si>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</si>
  <si>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</si>
  <si>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</si>
  <si>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</si>
  <si>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</si>
  <si>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</si>
  <si>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</si>
  <si>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</si>
  <si>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</si>
  <si>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</si>
  <si>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</si>
  <si>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</si>
  <si>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</si>
  <si>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</si>
  <si>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</si>
  <si>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</si>
  <si>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</si>
  <si>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</si>
  <si>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</si>
  <si>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</si>
  <si>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</si>
  <si>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</si>
  <si>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</si>
  <si>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</si>
  <si>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</si>
  <si>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</si>
  <si>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</si>
  <si>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</si>
  <si>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</si>
  <si>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</si>
  <si>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</si>
  <si>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</si>
  <si>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</si>
  <si>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</si>
  <si>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</si>
  <si>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</si>
  <si>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</si>
  <si>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</si>
  <si>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</si>
  <si>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</si>
  <si>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</si>
  <si>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</si>
  <si>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</si>
  <si>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</si>
  <si>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</si>
  <si>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</si>
  <si>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</si>
  <si>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</si>
  <si>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</si>
  <si>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</si>
  <si>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</si>
  <si>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</si>
  <si>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</si>
  <si>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</si>
  <si>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</si>
  <si>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</si>
  <si>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</si>
  <si>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</si>
  <si>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</si>
  <si>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</si>
  <si>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</si>
  <si>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</si>
  <si>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</si>
  <si>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</si>
  <si>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</si>
  <si>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</si>
  <si>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</si>
  <si>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</si>
  <si>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</si>
  <si>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</si>
  <si>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</si>
  <si>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</si>
  <si>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</si>
  <si>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</si>
  <si>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</si>
  <si>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</si>
  <si>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</si>
  <si>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</si>
  <si>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</si>
  <si>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</si>
  <si>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</si>
  <si>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</si>
  <si>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</si>
  <si>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</si>
  <si>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</si>
  <si>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</si>
  <si>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</si>
  <si>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</si>
  <si>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</si>
  <si>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</si>
  <si>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</si>
  <si>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</si>
  <si>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</si>
  <si>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</si>
  <si>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</si>
  <si>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</si>
  <si>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</si>
  <si>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</si>
  <si>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</si>
  <si>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</si>
  <si>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</si>
  <si>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</si>
  <si>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</si>
  <si>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</si>
  <si>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</si>
  <si>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</si>
  <si>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</si>
  <si>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</si>
  <si>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</si>
  <si>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</si>
  <si>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</si>
  <si>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</si>
  <si>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</si>
  <si>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</si>
  <si>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</si>
  <si>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</si>
  <si>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</si>
  <si>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</si>
  <si>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</si>
  <si>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</si>
  <si>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</si>
  <si>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</si>
  <si>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</si>
  <si>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</si>
  <si>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</si>
  <si>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</si>
  <si>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</si>
  <si>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</si>
  <si>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</si>
  <si>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</si>
  <si>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</si>
  <si>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</si>
  <si>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</si>
  <si>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</si>
  <si>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</si>
  <si>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</si>
  <si>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</si>
  <si>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</si>
  <si>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</si>
  <si>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</si>
  <si>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</si>
  <si>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</si>
  <si>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</si>
  <si>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</si>
  <si>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</si>
  <si>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</si>
  <si>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</si>
  <si>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</si>
  <si>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</si>
  <si>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</si>
  <si>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</si>
  <si>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</si>
  <si>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</si>
  <si>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</si>
  <si>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</si>
  <si>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</si>
  <si>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</si>
  <si>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</si>
  <si>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</si>
  <si>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</si>
  <si>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</si>
  <si>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</si>
  <si>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</si>
  <si>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</si>
  <si>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</si>
  <si>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</si>
  <si>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</si>
  <si>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</si>
  <si>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</si>
  <si>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</si>
  <si>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</si>
  <si>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</si>
  <si>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</si>
  <si>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</si>
  <si>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</si>
  <si>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</si>
  <si>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</si>
  <si>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</si>
  <si>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</si>
  <si>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</si>
  <si>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</si>
  <si>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</si>
  <si>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</si>
  <si>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</si>
  <si>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</si>
  <si>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</si>
  <si>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</si>
  <si>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</si>
  <si>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</si>
  <si>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</si>
  <si>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</si>
  <si>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</si>
  <si>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</si>
  <si>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</si>
  <si>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</si>
  <si>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</si>
  <si>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</si>
  <si>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</si>
  <si>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</si>
  <si>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</si>
  <si>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</si>
  <si>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</si>
  <si>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</si>
  <si>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</si>
  <si>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</si>
  <si>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</si>
  <si>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</si>
  <si>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</si>
  <si>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</si>
  <si>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</si>
  <si>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</si>
  <si>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</si>
  <si>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</si>
  <si>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</si>
  <si>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</si>
  <si>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</si>
  <si>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</si>
  <si>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</si>
  <si>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</si>
  <si>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</si>
  <si>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</si>
  <si>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</si>
  <si>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</si>
  <si>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</si>
  <si>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</si>
  <si>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</si>
  <si>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</si>
  <si>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</si>
  <si>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</si>
  <si>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</si>
  <si>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</si>
  <si>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</si>
  <si>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</si>
  <si>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</si>
  <si>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</si>
  <si>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</si>
  <si>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</si>
  <si>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</si>
  <si>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</si>
  <si>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</si>
  <si>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</si>
  <si>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</si>
  <si>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</si>
  <si>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</si>
  <si>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</si>
  <si>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</si>
  <si>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</si>
  <si>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</si>
  <si>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</si>
  <si>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</si>
  <si>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</si>
  <si>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</si>
  <si>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</si>
  <si>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</si>
  <si>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</si>
  <si>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</si>
  <si>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</si>
  <si>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</si>
  <si>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</si>
  <si>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</si>
  <si>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</si>
  <si>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</si>
  <si>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</si>
  <si>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</si>
  <si>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</si>
  <si>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</si>
  <si>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</si>
  <si>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</si>
  <si>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</si>
  <si>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</si>
  <si>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</si>
  <si>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</si>
  <si>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</si>
  <si>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</si>
  <si>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</si>
  <si>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</si>
  <si>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</si>
  <si>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</si>
  <si>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</si>
  <si>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</si>
  <si>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</si>
  <si>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</si>
  <si>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</si>
  <si>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</si>
  <si>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</si>
  <si>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</si>
  <si>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</si>
  <si>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</si>
  <si>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</si>
  <si>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</si>
  <si>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</si>
  <si>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</si>
  <si>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</si>
  <si>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</si>
  <si>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</si>
  <si>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</si>
  <si>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</si>
  <si>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</si>
  <si>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</si>
  <si>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</si>
  <si>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</si>
  <si>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</si>
  <si>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</si>
  <si>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</si>
  <si>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</si>
  <si>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</si>
  <si>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</si>
  <si>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</si>
  <si>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</si>
  <si>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</si>
  <si>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</si>
  <si>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</si>
  <si>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</si>
  <si>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</si>
  <si>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</si>
  <si>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</si>
  <si>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</si>
  <si>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</si>
  <si>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</si>
  <si>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</si>
  <si>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</si>
  <si>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</si>
  <si>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</si>
  <si>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</si>
  <si>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</si>
  <si>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</si>
  <si>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</si>
  <si>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</si>
  <si>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</si>
  <si>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</si>
  <si>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</si>
  <si>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</si>
  <si>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</si>
  <si>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</si>
  <si>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</si>
  <si>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</si>
  <si>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</si>
  <si>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</si>
  <si>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</si>
  <si>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</si>
  <si>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</si>
  <si>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</si>
  <si>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</si>
  <si>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</si>
  <si>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</si>
  <si>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</si>
  <si>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</si>
  <si>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</si>
  <si>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</si>
  <si>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</si>
  <si>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</si>
  <si>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</si>
  <si>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</si>
  <si>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</si>
  <si>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</si>
  <si>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</si>
  <si>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</si>
  <si>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</si>
  <si>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</si>
  <si>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</si>
  <si>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</si>
  <si>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</si>
  <si>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</si>
  <si>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</si>
  <si>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</si>
  <si>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</si>
  <si>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</si>
  <si>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</si>
  <si>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</si>
  <si>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</si>
  <si>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</si>
  <si>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</si>
  <si>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</si>
  <si>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</si>
  <si>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</si>
  <si>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</si>
  <si>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</si>
  <si>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</si>
  <si>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</si>
  <si>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</si>
  <si>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</si>
  <si>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</si>
  <si>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</si>
  <si>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</si>
  <si>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</si>
  <si>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</si>
  <si>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</si>
  <si>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</si>
  <si>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</si>
  <si>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</si>
  <si>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</si>
  <si>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</si>
  <si>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</si>
  <si>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</si>
  <si>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</si>
  <si>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</si>
  <si>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</si>
  <si>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</si>
  <si>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</si>
  <si>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</si>
  <si>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</si>
  <si>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</si>
  <si>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</si>
  <si>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</si>
  <si>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</si>
  <si>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</si>
  <si>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</si>
  <si>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</si>
  <si>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</si>
  <si>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</si>
  <si>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</si>
  <si>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</si>
  <si>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</si>
  <si>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</si>
  <si>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</si>
  <si>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</si>
  <si>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</si>
  <si>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</si>
  <si>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</si>
  <si>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</si>
  <si>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</si>
  <si>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</si>
  <si>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</si>
  <si>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</si>
  <si>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</si>
  <si>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</si>
  <si>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</si>
  <si>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</si>
  <si>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</si>
  <si>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</si>
  <si>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</si>
  <si>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</si>
  <si>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</si>
  <si>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</si>
  <si>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</si>
  <si>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</si>
  <si>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</si>
  <si>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</si>
  <si>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</si>
  <si>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</si>
  <si>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</si>
  <si>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</si>
  <si>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</si>
  <si>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</si>
  <si>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</si>
  <si>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</si>
  <si>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</si>
  <si>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</si>
  <si>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</si>
  <si>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</si>
  <si>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</si>
  <si>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</si>
  <si>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</si>
  <si>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</si>
  <si>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</si>
  <si>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</si>
  <si>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</si>
  <si>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</si>
  <si>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</si>
  <si>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</si>
  <si>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</si>
  <si>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</si>
  <si>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</si>
  <si>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</si>
  <si>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</si>
  <si>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</si>
  <si>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</si>
  <si>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</si>
  <si>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</si>
  <si>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</si>
  <si>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</si>
  <si>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</si>
  <si>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</si>
  <si>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</si>
  <si>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</si>
  <si>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</si>
  <si>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</si>
  <si>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</si>
  <si>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</si>
  <si>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</si>
  <si>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</si>
  <si>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</si>
  <si>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</si>
  <si>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</si>
  <si>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</si>
  <si>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</si>
  <si>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</si>
  <si>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</si>
  <si>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</si>
  <si>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</si>
  <si>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</si>
  <si>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</si>
  <si>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</si>
  <si>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</si>
  <si>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</si>
  <si>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</si>
  <si>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</si>
  <si>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</si>
  <si>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</si>
  <si>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</si>
  <si>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</si>
  <si>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</si>
  <si>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</si>
  <si>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</si>
  <si>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</si>
  <si>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</si>
  <si>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</si>
  <si>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</si>
  <si>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</si>
  <si>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</si>
  <si>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</si>
  <si>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</si>
  <si>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</si>
  <si>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</si>
  <si>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</si>
  <si>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</si>
  <si>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</si>
  <si>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</si>
  <si>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</si>
  <si>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</si>
  <si>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</si>
  <si>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</si>
  <si>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</si>
  <si>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</si>
  <si>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</si>
  <si>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</si>
  <si>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</si>
  <si>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</si>
  <si>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</si>
  <si>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</si>
  <si>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</si>
  <si>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</si>
  <si>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</si>
  <si>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</si>
  <si>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</si>
  <si>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</si>
  <si>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</si>
  <si>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</si>
  <si>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</si>
  <si>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</si>
  <si>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</si>
  <si>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</si>
  <si>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</si>
  <si>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</si>
  <si>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</si>
  <si>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</si>
  <si>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</si>
  <si>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</si>
  <si>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</si>
  <si>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</si>
  <si>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</si>
  <si>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</si>
  <si>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</si>
  <si>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</si>
  <si>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</si>
  <si>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</si>
  <si>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</si>
  <si>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</si>
  <si>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</si>
  <si>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</si>
  <si>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</si>
  <si>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</si>
  <si>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</si>
  <si>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</si>
  <si>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</si>
  <si>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</si>
  <si>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</si>
  <si>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</si>
  <si>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</si>
  <si>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</si>
  <si>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</si>
  <si>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</si>
  <si>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</si>
  <si>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</si>
  <si>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</si>
  <si>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</si>
  <si>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</si>
  <si>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</si>
  <si>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</si>
  <si>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</si>
  <si>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</si>
  <si>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</si>
  <si>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</si>
  <si>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</si>
  <si>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</si>
  <si>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</si>
  <si>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</si>
  <si>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</si>
  <si>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</si>
  <si>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</si>
  <si>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</si>
  <si>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</si>
  <si>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</si>
  <si>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</si>
  <si>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</si>
  <si>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</si>
  <si>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</si>
  <si>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</si>
  <si>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</si>
  <si>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</si>
  <si>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</si>
  <si>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</si>
  <si>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</si>
  <si>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</si>
  <si>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</si>
  <si>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</si>
  <si>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</si>
  <si>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</si>
  <si>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</si>
  <si>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</si>
  <si>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</si>
  <si>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</si>
  <si>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</si>
  <si>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</si>
  <si>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</si>
  <si>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</si>
  <si>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</si>
  <si>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</si>
  <si>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</si>
  <si>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</si>
  <si>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</si>
  <si>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</si>
  <si>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</si>
  <si>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</si>
  <si>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</si>
  <si>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</si>
  <si>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</si>
  <si>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</si>
  <si>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</si>
  <si>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</si>
  <si>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</si>
  <si>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</si>
  <si>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</si>
  <si>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</si>
  <si>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</si>
  <si>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</si>
  <si>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</si>
  <si>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</si>
  <si>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</si>
  <si>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</si>
  <si>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</si>
  <si>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</si>
  <si>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</si>
  <si>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</si>
  <si>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</si>
  <si>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</si>
  <si>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</si>
  <si>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</si>
  <si>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</si>
  <si>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</si>
  <si>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</si>
  <si>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</si>
  <si>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</si>
  <si>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</si>
  <si>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</si>
  <si>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</si>
  <si>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</si>
  <si>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</si>
  <si>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</si>
  <si>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</si>
  <si>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</si>
  <si>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</si>
  <si>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</si>
  <si>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</si>
  <si>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</si>
  <si>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</si>
  <si>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</si>
  <si>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</si>
  <si>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</si>
  <si>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</si>
  <si>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</si>
  <si>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</si>
  <si>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</si>
  <si>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</si>
  <si>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</si>
  <si>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</si>
  <si>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</si>
  <si>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</si>
  <si>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</si>
  <si>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</si>
  <si>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</si>
  <si>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</si>
  <si>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</si>
  <si>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</si>
  <si>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</si>
  <si>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</si>
  <si>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</si>
  <si>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</si>
  <si>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</si>
  <si>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</si>
  <si>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</si>
  <si>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</si>
  <si>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</si>
  <si>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</si>
  <si>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</si>
  <si>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</si>
  <si>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</si>
  <si>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</si>
  <si>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</si>
  <si>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</si>
  <si>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</si>
  <si>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</si>
  <si>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</si>
  <si>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</si>
  <si>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</si>
  <si>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</si>
  <si>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</si>
  <si>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</si>
  <si>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</si>
  <si>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</si>
  <si>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</si>
  <si>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</si>
  <si>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</si>
  <si>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</si>
  <si>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</si>
  <si>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</si>
  <si>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</si>
  <si>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</si>
  <si>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</si>
  <si>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</si>
  <si>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</si>
  <si>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</si>
  <si>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</si>
  <si>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</si>
  <si>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</si>
  <si>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</si>
  <si>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</si>
  <si>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</si>
  <si>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</si>
  <si>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</si>
  <si>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</si>
  <si>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</si>
  <si>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</si>
  <si>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</si>
  <si>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</si>
  <si>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</si>
  <si>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</si>
  <si>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</si>
  <si>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</si>
  <si>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</si>
  <si>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</si>
  <si>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</si>
  <si>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</si>
  <si>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</si>
  <si>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</si>
  <si>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</si>
  <si>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</si>
  <si>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</si>
  <si>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</si>
  <si>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</si>
  <si>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</si>
  <si>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</si>
  <si>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</si>
  <si>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</si>
  <si>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</si>
  <si>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</si>
  <si>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</si>
  <si>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</si>
  <si>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</si>
  <si>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</si>
  <si>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</si>
  <si>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</si>
  <si>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</si>
  <si>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</si>
  <si>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</si>
  <si>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</si>
  <si>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</si>
  <si>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</si>
  <si>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</si>
  <si>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</si>
  <si>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</si>
  <si>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</si>
  <si>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</si>
  <si>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</si>
  <si>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</si>
  <si>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</si>
  <si>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</si>
  <si>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</si>
  <si>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</si>
  <si>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</si>
  <si>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</si>
  <si>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</si>
  <si>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</si>
  <si>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</si>
  <si>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</si>
  <si>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</si>
  <si>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</si>
  <si>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</si>
  <si>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</si>
  <si>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</si>
  <si>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</si>
  <si>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</si>
  <si>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</si>
  <si>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</si>
  <si>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</si>
  <si>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</si>
  <si>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</si>
  <si>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</si>
  <si>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</si>
  <si>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</si>
  <si>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</si>
  <si>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</si>
  <si>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</si>
  <si>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</si>
  <si>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Paarden&amp;pony's 200 - 600 kg</t>
  </si>
  <si>
    <t>Paarden&amp;pony's &lt; 200 kg</t>
  </si>
  <si>
    <t>Fluvius</t>
  </si>
  <si>
    <t>referentietaak LNE (2017); Jaarverslag De Lijn</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</si>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</sst>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606252.54820065072</c:v>
                </c:pt>
                <c:pt idx="1">
                  <c:v>428874.61453972408</c:v>
                </c:pt>
                <c:pt idx="2">
                  <c:v>5102.21</c:v>
                </c:pt>
                <c:pt idx="3">
                  <c:v>9782.4648431491769</c:v>
                </c:pt>
                <c:pt idx="4">
                  <c:v>199725.59571679425</c:v>
                </c:pt>
                <c:pt idx="5">
                  <c:v>584270.79588491446</c:v>
                </c:pt>
                <c:pt idx="6">
                  <c:v>18037.237423763574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606252.54820065072</c:v>
                </c:pt>
                <c:pt idx="1">
                  <c:v>428874.61453972408</c:v>
                </c:pt>
                <c:pt idx="2">
                  <c:v>5102.21</c:v>
                </c:pt>
                <c:pt idx="3">
                  <c:v>9782.4648431491769</c:v>
                </c:pt>
                <c:pt idx="4">
                  <c:v>199725.59571679425</c:v>
                </c:pt>
                <c:pt idx="5">
                  <c:v>584270.79588491446</c:v>
                </c:pt>
                <c:pt idx="6">
                  <c:v>18037.237423763574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121666.31102851646</c:v>
                </c:pt>
                <c:pt idx="2">
                  <c:v>86170.096506446338</c:v>
                </c:pt>
                <c:pt idx="3">
                  <c:v>1016.6075321830875</c:v>
                </c:pt>
                <c:pt idx="4">
                  <c:v>2343.6875482492528</c:v>
                </c:pt>
                <c:pt idx="5">
                  <c:v>41755.183101189003</c:v>
                </c:pt>
                <c:pt idx="6">
                  <c:v>146398.96272745181</c:v>
                </c:pt>
                <c:pt idx="7">
                  <c:v>4555.5604240986022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121666.31102851646</c:v>
                </c:pt>
                <c:pt idx="2">
                  <c:v>86170.096506446338</c:v>
                </c:pt>
                <c:pt idx="3">
                  <c:v>1016.6075321830875</c:v>
                </c:pt>
                <c:pt idx="4">
                  <c:v>2343.6875482492528</c:v>
                </c:pt>
                <c:pt idx="5">
                  <c:v>41755.183101189003</c:v>
                </c:pt>
                <c:pt idx="6">
                  <c:v>146398.96272745181</c:v>
                </c:pt>
                <c:pt idx="7">
                  <c:v>4555.5604240986022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667</v>
      </c>
      <c r="B2" s="395"/>
      <c r="C2" s="396"/>
    </row>
    <row r="3" spans="1:7" s="11" customFormat="1" ht="15" customHeight="1">
      <c r="A3" s="93"/>
      <c r="B3" s="74"/>
      <c r="C3" s="94"/>
    </row>
    <row r="4" spans="1:7" s="11" customFormat="1" ht="15.75" customHeight="1" thickBot="1">
      <c r="A4" s="105" t="s">
        <v>906</v>
      </c>
      <c r="B4" s="106"/>
      <c r="C4" s="107"/>
    </row>
    <row r="5" spans="1:7" s="389" customFormat="1" ht="15.75" customHeight="1">
      <c r="A5" s="386" t="s">
        <v>0</v>
      </c>
      <c r="B5" s="387"/>
      <c r="C5" s="388"/>
    </row>
    <row r="6" spans="1:7" s="389" customFormat="1" ht="15" customHeight="1">
      <c r="A6" s="390" t="str">
        <f>txtNIS</f>
        <v>71022</v>
      </c>
      <c r="B6" s="391"/>
      <c r="C6" s="392"/>
    </row>
    <row r="7" spans="1:7" s="389" customFormat="1" ht="15.75" customHeight="1">
      <c r="A7" s="393" t="str">
        <f>txtMunicipality</f>
        <v>HASSELT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685</v>
      </c>
      <c r="B10" s="1075"/>
      <c r="C10" s="1076"/>
    </row>
    <row r="11" spans="1:7" s="383" customFormat="1" ht="15.75" thickBot="1">
      <c r="A11" s="406" t="s">
        <v>358</v>
      </c>
      <c r="B11" s="409"/>
      <c r="C11" s="410"/>
      <c r="G11" s="384"/>
    </row>
    <row r="12" spans="1:7">
      <c r="A12" s="44"/>
      <c r="B12" s="43"/>
      <c r="C12" s="96"/>
    </row>
    <row r="13" spans="1:7" s="383" customFormat="1">
      <c r="A13" s="753" t="s">
        <v>627</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686</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584</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587</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614</v>
      </c>
      <c r="B17" s="499">
        <f ca="1">'EF ele_warmte'!B12</f>
        <v>0.19924846922864553</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587</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605</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614</v>
      </c>
      <c r="B29" s="500">
        <f ca="1">'EF ele_warmte'!B12</f>
        <v>0.19924846922864553</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575</v>
      </c>
      <c r="B10" s="502"/>
      <c r="C10" s="141" t="s">
        <v>181</v>
      </c>
      <c r="D10" s="144" t="s">
        <v>390</v>
      </c>
      <c r="I10" s="1199"/>
      <c r="K10" s="58"/>
    </row>
    <row r="11" spans="1:11" s="43" customFormat="1">
      <c r="A11" s="44" t="s">
        <v>576</v>
      </c>
      <c r="B11" s="47"/>
      <c r="D11" s="142" t="s">
        <v>391</v>
      </c>
      <c r="I11" s="1199"/>
      <c r="K11" s="58"/>
    </row>
    <row r="12" spans="1:11" s="43" customFormat="1">
      <c r="A12" s="44" t="s">
        <v>577</v>
      </c>
      <c r="B12" s="47"/>
      <c r="D12" s="142" t="s">
        <v>391</v>
      </c>
      <c r="I12" s="1199"/>
      <c r="K12" s="58"/>
    </row>
    <row r="13" spans="1:11" s="43" customFormat="1">
      <c r="A13" s="44"/>
      <c r="B13" s="452"/>
      <c r="D13" s="96"/>
      <c r="I13" s="1199"/>
    </row>
    <row r="14" spans="1:11" s="43" customFormat="1">
      <c r="A14" s="302" t="s">
        <v>574</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585</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575</v>
      </c>
      <c r="B31" s="502"/>
      <c r="C31" s="141" t="s">
        <v>181</v>
      </c>
      <c r="D31" s="144" t="s">
        <v>390</v>
      </c>
    </row>
    <row r="32" spans="1:11">
      <c r="A32" s="442" t="s">
        <v>576</v>
      </c>
      <c r="B32" s="47"/>
      <c r="C32" s="48"/>
      <c r="D32" s="142" t="s">
        <v>391</v>
      </c>
    </row>
    <row r="33" spans="1:11">
      <c r="A33" s="44"/>
      <c r="B33" s="48"/>
      <c r="C33" s="48"/>
      <c r="D33" s="142"/>
    </row>
    <row r="34" spans="1:11" s="43" customFormat="1">
      <c r="A34" s="302" t="s">
        <v>574</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578</v>
      </c>
      <c r="B50" s="47"/>
      <c r="C50" s="32"/>
      <c r="D50" s="143" t="s">
        <v>392</v>
      </c>
    </row>
    <row r="51" spans="1:4">
      <c r="A51" s="44" t="s">
        <v>579</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580</v>
      </c>
      <c r="B57" s="47"/>
      <c r="C57" s="32"/>
      <c r="D57" s="142" t="s">
        <v>154</v>
      </c>
    </row>
    <row r="58" spans="1:4">
      <c r="A58" s="44" t="s">
        <v>581</v>
      </c>
      <c r="B58" s="47"/>
      <c r="C58" s="32"/>
      <c r="D58" s="142" t="s">
        <v>155</v>
      </c>
    </row>
    <row r="59" spans="1:4">
      <c r="A59" s="44" t="s">
        <v>582</v>
      </c>
      <c r="B59" s="47"/>
      <c r="C59" s="48"/>
      <c r="D59" s="142" t="s">
        <v>388</v>
      </c>
    </row>
    <row r="60" spans="1:4">
      <c r="A60" s="44" t="s">
        <v>583</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600</v>
      </c>
      <c r="B1" s="634"/>
      <c r="C1" s="634"/>
      <c r="D1" s="634"/>
      <c r="E1" s="635"/>
    </row>
    <row r="2" spans="1:5">
      <c r="A2" s="646" t="s">
        <v>393</v>
      </c>
      <c r="B2" s="651" t="s">
        <v>523</v>
      </c>
      <c r="C2" s="647"/>
      <c r="D2" s="647"/>
      <c r="E2" s="648"/>
    </row>
    <row r="3" spans="1:5">
      <c r="A3" s="649"/>
      <c r="B3" s="650"/>
      <c r="C3" s="638"/>
      <c r="D3" s="638"/>
      <c r="E3" s="639"/>
    </row>
    <row r="4" spans="1:5" s="330" customFormat="1" ht="45">
      <c r="A4" s="637" t="s">
        <v>604</v>
      </c>
      <c r="B4" s="645" t="s">
        <v>593</v>
      </c>
      <c r="C4" s="666" t="s">
        <v>615</v>
      </c>
      <c r="D4" s="667" t="s">
        <v>616</v>
      </c>
      <c r="E4" s="668" t="s">
        <v>617</v>
      </c>
    </row>
    <row r="5" spans="1:5">
      <c r="A5" s="640" t="s">
        <v>594</v>
      </c>
      <c r="B5" s="632" t="s">
        <v>595</v>
      </c>
      <c r="C5" s="663">
        <v>3.678273E-2</v>
      </c>
      <c r="D5" s="664">
        <v>0.27778000000000003</v>
      </c>
      <c r="E5" s="656">
        <f>C5*D5</f>
        <v>1.0217506739400001E-2</v>
      </c>
    </row>
    <row r="6" spans="1:5">
      <c r="A6" s="640" t="s">
        <v>594</v>
      </c>
      <c r="B6" s="632" t="s">
        <v>596</v>
      </c>
      <c r="C6" s="663">
        <v>4.2278999999999997E-2</v>
      </c>
      <c r="D6" s="664">
        <v>0.27778000000000003</v>
      </c>
      <c r="E6" s="656">
        <f t="shared" ref="E6:E21" si="0">C6*D6</f>
        <v>1.174426062E-2</v>
      </c>
    </row>
    <row r="7" spans="1:5">
      <c r="A7" s="640" t="s">
        <v>594</v>
      </c>
      <c r="B7" s="632" t="s">
        <v>597</v>
      </c>
      <c r="C7" s="663">
        <v>42.279000000000003</v>
      </c>
      <c r="D7" s="664">
        <v>0.27778000000000003</v>
      </c>
      <c r="E7" s="656">
        <f t="shared" si="0"/>
        <v>11.744260620000002</v>
      </c>
    </row>
    <row r="8" spans="1:5">
      <c r="A8" s="640" t="s">
        <v>598</v>
      </c>
      <c r="B8" s="632" t="s">
        <v>595</v>
      </c>
      <c r="C8" s="663">
        <v>3.8573799999999998E-2</v>
      </c>
      <c r="D8" s="664">
        <v>0.27778000000000003</v>
      </c>
      <c r="E8" s="656">
        <f t="shared" si="0"/>
        <v>1.0715030164E-2</v>
      </c>
    </row>
    <row r="9" spans="1:5">
      <c r="A9" s="640" t="s">
        <v>598</v>
      </c>
      <c r="B9" s="632" t="s">
        <v>596</v>
      </c>
      <c r="C9" s="663">
        <v>4.0604000000000001E-2</v>
      </c>
      <c r="D9" s="664">
        <v>0.27778000000000003</v>
      </c>
      <c r="E9" s="656">
        <f t="shared" si="0"/>
        <v>1.1278979120000001E-2</v>
      </c>
    </row>
    <row r="10" spans="1:5">
      <c r="A10" s="640" t="s">
        <v>598</v>
      </c>
      <c r="B10" s="632" t="s">
        <v>597</v>
      </c>
      <c r="C10" s="663">
        <v>40.603999999999999</v>
      </c>
      <c r="D10" s="664">
        <v>0.27778000000000003</v>
      </c>
      <c r="E10" s="656">
        <f t="shared" si="0"/>
        <v>11.278979120000001</v>
      </c>
    </row>
    <row r="11" spans="1:5">
      <c r="A11" s="640" t="s">
        <v>618</v>
      </c>
      <c r="B11" s="632" t="s">
        <v>595</v>
      </c>
      <c r="C11" s="663">
        <v>2.3511000000000001E-2</v>
      </c>
      <c r="D11" s="664">
        <v>0.27778000000000003</v>
      </c>
      <c r="E11" s="656">
        <f t="shared" si="0"/>
        <v>6.5308855800000004E-3</v>
      </c>
    </row>
    <row r="12" spans="1:5">
      <c r="A12" s="640" t="s">
        <v>618</v>
      </c>
      <c r="B12" s="632" t="s">
        <v>596</v>
      </c>
      <c r="C12" s="663">
        <v>4.6100000000000002E-2</v>
      </c>
      <c r="D12" s="664">
        <v>0.27778000000000003</v>
      </c>
      <c r="E12" s="656">
        <f t="shared" si="0"/>
        <v>1.2805658000000001E-2</v>
      </c>
    </row>
    <row r="13" spans="1:5">
      <c r="A13" s="640" t="s">
        <v>618</v>
      </c>
      <c r="B13" s="632" t="s">
        <v>597</v>
      </c>
      <c r="C13" s="663">
        <v>46.1</v>
      </c>
      <c r="D13" s="664">
        <v>0.27778000000000003</v>
      </c>
      <c r="E13" s="656">
        <f t="shared" si="0"/>
        <v>12.805658000000001</v>
      </c>
    </row>
    <row r="14" spans="1:5">
      <c r="A14" s="640" t="s">
        <v>619</v>
      </c>
      <c r="B14" s="632" t="s">
        <v>595</v>
      </c>
      <c r="C14" s="663">
        <v>2.6525139999999999E-2</v>
      </c>
      <c r="D14" s="664">
        <v>0.27778000000000003</v>
      </c>
      <c r="E14" s="656">
        <f t="shared" si="0"/>
        <v>7.3681533892000009E-3</v>
      </c>
    </row>
    <row r="15" spans="1:5">
      <c r="A15" s="640" t="s">
        <v>619</v>
      </c>
      <c r="B15" s="632" t="s">
        <v>596</v>
      </c>
      <c r="C15" s="663">
        <v>4.5733000000000003E-2</v>
      </c>
      <c r="D15" s="664">
        <v>0.27778000000000003</v>
      </c>
      <c r="E15" s="656">
        <f t="shared" si="0"/>
        <v>1.2703712740000001E-2</v>
      </c>
    </row>
    <row r="16" spans="1:5">
      <c r="A16" s="640" t="s">
        <v>619</v>
      </c>
      <c r="B16" s="632" t="s">
        <v>597</v>
      </c>
      <c r="C16" s="663">
        <v>45.732999999999997</v>
      </c>
      <c r="D16" s="664">
        <v>0.27778000000000003</v>
      </c>
      <c r="E16" s="656">
        <f t="shared" si="0"/>
        <v>12.70371274</v>
      </c>
    </row>
    <row r="17" spans="1:10">
      <c r="A17" s="640" t="s">
        <v>602</v>
      </c>
      <c r="B17" s="632" t="s">
        <v>599</v>
      </c>
      <c r="C17" s="663">
        <v>3.2923000000000001E-2</v>
      </c>
      <c r="D17" s="664">
        <f>0.27778</f>
        <v>0.27778000000000003</v>
      </c>
      <c r="E17" s="656">
        <f t="shared" si="0"/>
        <v>9.1453509400000015E-3</v>
      </c>
    </row>
    <row r="18" spans="1:10">
      <c r="A18" s="640" t="s">
        <v>603</v>
      </c>
      <c r="B18" s="632" t="s">
        <v>599</v>
      </c>
      <c r="C18" s="663">
        <v>3.8852400000000002E-2</v>
      </c>
      <c r="D18" s="664">
        <f>0.27778</f>
        <v>0.27778000000000003</v>
      </c>
      <c r="E18" s="656">
        <f t="shared" si="0"/>
        <v>1.0792419672000002E-2</v>
      </c>
    </row>
    <row r="19" spans="1:10">
      <c r="A19" s="640" t="s">
        <v>606</v>
      </c>
      <c r="B19" s="632" t="s">
        <v>595</v>
      </c>
      <c r="C19" s="663">
        <v>2.4812460000000001E-2</v>
      </c>
      <c r="D19" s="664">
        <v>0.27778000000000003</v>
      </c>
      <c r="E19" s="656">
        <f t="shared" si="0"/>
        <v>6.8924051388000009E-3</v>
      </c>
    </row>
    <row r="20" spans="1:10">
      <c r="A20" s="640" t="s">
        <v>606</v>
      </c>
      <c r="B20" s="632" t="s">
        <v>596</v>
      </c>
      <c r="C20" s="663">
        <v>4.5948999999999997E-2</v>
      </c>
      <c r="D20" s="664">
        <v>0.27778000000000003</v>
      </c>
      <c r="E20" s="656">
        <f t="shared" si="0"/>
        <v>1.276371322E-2</v>
      </c>
    </row>
    <row r="21" spans="1:10">
      <c r="A21" s="640" t="s">
        <v>606</v>
      </c>
      <c r="B21" s="632" t="s">
        <v>597</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601</v>
      </c>
      <c r="B24" s="634"/>
      <c r="C24" s="634"/>
      <c r="D24" s="634"/>
      <c r="E24" s="635"/>
    </row>
    <row r="25" spans="1:10">
      <c r="A25" s="660" t="s">
        <v>393</v>
      </c>
      <c r="B25" s="1064" t="s">
        <v>892</v>
      </c>
      <c r="C25" s="638"/>
      <c r="D25" s="638"/>
      <c r="E25" s="639"/>
    </row>
    <row r="26" spans="1:10">
      <c r="A26" s="44"/>
      <c r="B26" s="43"/>
      <c r="C26" s="43"/>
      <c r="D26" s="43"/>
      <c r="E26" s="96"/>
    </row>
    <row r="27" spans="1:10" s="330" customFormat="1">
      <c r="A27" s="637" t="s">
        <v>604</v>
      </c>
      <c r="B27" s="645" t="s">
        <v>593</v>
      </c>
      <c r="C27" s="653"/>
      <c r="D27" s="652"/>
      <c r="E27" s="668" t="s">
        <v>608</v>
      </c>
    </row>
    <row r="28" spans="1:10">
      <c r="A28" s="640" t="s">
        <v>201</v>
      </c>
      <c r="B28" s="632" t="s">
        <v>595</v>
      </c>
      <c r="C28" s="654"/>
      <c r="D28" s="655"/>
      <c r="E28" s="662">
        <f>E29*0.84</f>
        <v>9.962166666666666E-3</v>
      </c>
      <c r="G28" s="636"/>
      <c r="H28" s="772"/>
      <c r="I28" s="772"/>
      <c r="J28" s="772"/>
    </row>
    <row r="29" spans="1:10">
      <c r="A29" s="640" t="s">
        <v>201</v>
      </c>
      <c r="B29" s="632" t="s">
        <v>596</v>
      </c>
      <c r="C29" s="654"/>
      <c r="D29" s="655"/>
      <c r="E29" s="662">
        <f>0.042695/3.6</f>
        <v>1.1859722222222221E-2</v>
      </c>
      <c r="F29" s="886"/>
      <c r="G29" s="636"/>
      <c r="H29" s="772"/>
      <c r="I29" s="772"/>
      <c r="J29" s="772"/>
    </row>
    <row r="30" spans="1:10">
      <c r="A30" s="640" t="s">
        <v>119</v>
      </c>
      <c r="B30" s="632" t="s">
        <v>595</v>
      </c>
      <c r="C30" s="654"/>
      <c r="D30" s="655"/>
      <c r="E30" s="662">
        <f>E31*0.75</f>
        <v>9.1195833333333337E-3</v>
      </c>
      <c r="H30" s="772"/>
      <c r="I30" s="772"/>
      <c r="J30" s="772"/>
    </row>
    <row r="31" spans="1:10">
      <c r="A31" s="640" t="s">
        <v>119</v>
      </c>
      <c r="B31" s="632" t="s">
        <v>596</v>
      </c>
      <c r="C31" s="654"/>
      <c r="D31" s="655"/>
      <c r="E31" s="662">
        <f>0.043774/3.6</f>
        <v>1.2159444444444445E-2</v>
      </c>
      <c r="H31" s="772"/>
      <c r="I31" s="772"/>
      <c r="J31" s="772"/>
    </row>
    <row r="32" spans="1:10">
      <c r="A32" s="640" t="s">
        <v>606</v>
      </c>
      <c r="B32" s="632" t="s">
        <v>595</v>
      </c>
      <c r="C32" s="654"/>
      <c r="D32" s="655"/>
      <c r="E32" s="662">
        <f>E33*0.52</f>
        <v>6.7259111111111118E-3</v>
      </c>
      <c r="H32" s="772"/>
    </row>
    <row r="33" spans="1:8">
      <c r="A33" s="640" t="s">
        <v>606</v>
      </c>
      <c r="B33" s="632" t="s">
        <v>596</v>
      </c>
      <c r="C33" s="654"/>
      <c r="D33" s="655"/>
      <c r="E33" s="662">
        <f>0.046564/3.6</f>
        <v>1.2934444444444445E-2</v>
      </c>
      <c r="H33" s="772"/>
    </row>
    <row r="34" spans="1:8">
      <c r="A34" s="640" t="s">
        <v>607</v>
      </c>
      <c r="B34" s="632" t="s">
        <v>595</v>
      </c>
      <c r="C34" s="654"/>
      <c r="D34" s="655"/>
      <c r="E34" s="662">
        <f>E35*0.175</f>
        <v>2.3333333333333331E-3</v>
      </c>
      <c r="H34" s="772"/>
    </row>
    <row r="35" spans="1:8">
      <c r="A35" s="640" t="s">
        <v>607</v>
      </c>
      <c r="B35" s="632" t="s">
        <v>596</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620</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687</v>
      </c>
      <c r="C21" s="131" t="s">
        <v>588</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557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557</v>
      </c>
      <c r="B4" s="330"/>
      <c r="C4" s="330"/>
      <c r="D4" s="330"/>
      <c r="E4" s="330"/>
      <c r="F4" s="330"/>
    </row>
    <row r="5" spans="1:6" ht="22.5">
      <c r="A5" s="1296" t="s">
        <v>558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34440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638</v>
      </c>
      <c r="D12" s="331"/>
      <c r="E12" s="331"/>
      <c r="F12" s="335"/>
    </row>
    <row r="13" spans="1:6" ht="16.5" thickTop="1" thickBot="1">
      <c r="A13" s="1302" t="s">
        <v>4</v>
      </c>
      <c r="B13" s="1303" t="s">
        <v>5</v>
      </c>
      <c r="C13" s="1303"/>
      <c r="D13" s="1303"/>
      <c r="E13" s="1303"/>
      <c r="F13" s="1304"/>
    </row>
    <row r="14" spans="1:6">
      <c r="A14" s="1305" t="s">
        <v>744</v>
      </c>
      <c r="B14" s="1306">
        <v>3070</v>
      </c>
      <c r="C14" s="330"/>
      <c r="D14" s="330"/>
      <c r="E14" s="330"/>
      <c r="F14" s="330"/>
    </row>
    <row r="15" spans="1:6">
      <c r="A15" s="1305" t="s">
        <v>183</v>
      </c>
      <c r="B15" s="1306">
        <v>3685</v>
      </c>
      <c r="C15" s="330"/>
      <c r="D15" s="330"/>
      <c r="E15" s="330"/>
      <c r="F15" s="330"/>
    </row>
    <row r="16" spans="1:6">
      <c r="A16" s="1305" t="s">
        <v>6</v>
      </c>
      <c r="B16" s="1306">
        <v>531</v>
      </c>
      <c r="C16" s="330"/>
      <c r="D16" s="330"/>
      <c r="E16" s="330"/>
      <c r="F16" s="330"/>
    </row>
    <row r="17" spans="1:6">
      <c r="A17" s="1305" t="s">
        <v>7</v>
      </c>
      <c r="B17" s="1306">
        <v>356</v>
      </c>
      <c r="C17" s="330"/>
      <c r="D17" s="330"/>
      <c r="E17" s="330"/>
      <c r="F17" s="330"/>
    </row>
    <row r="18" spans="1:6">
      <c r="A18" s="1305" t="s">
        <v>8</v>
      </c>
      <c r="B18" s="1306">
        <v>589</v>
      </c>
      <c r="C18" s="330"/>
      <c r="D18" s="330"/>
      <c r="E18" s="330"/>
      <c r="F18" s="330"/>
    </row>
    <row r="19" spans="1:6">
      <c r="A19" s="1305" t="s">
        <v>9</v>
      </c>
      <c r="B19" s="1306">
        <v>537</v>
      </c>
      <c r="C19" s="330"/>
      <c r="D19" s="330"/>
      <c r="E19" s="330"/>
      <c r="F19" s="330"/>
    </row>
    <row r="20" spans="1:6">
      <c r="A20" s="1305" t="s">
        <v>10</v>
      </c>
      <c r="B20" s="1306">
        <v>524</v>
      </c>
      <c r="C20" s="330"/>
      <c r="D20" s="330"/>
      <c r="E20" s="330"/>
      <c r="F20" s="330"/>
    </row>
    <row r="21" spans="1:6">
      <c r="A21" s="1305" t="s">
        <v>11</v>
      </c>
      <c r="B21" s="1306">
        <v>1096</v>
      </c>
      <c r="C21" s="330"/>
      <c r="D21" s="330"/>
      <c r="E21" s="330"/>
      <c r="F21" s="330"/>
    </row>
    <row r="22" spans="1:6">
      <c r="A22" s="1305" t="s">
        <v>12</v>
      </c>
      <c r="B22" s="1306">
        <v>3811</v>
      </c>
      <c r="C22" s="330"/>
      <c r="D22" s="330"/>
      <c r="E22" s="330"/>
      <c r="F22" s="330"/>
    </row>
    <row r="23" spans="1:6">
      <c r="A23" s="1305" t="s">
        <v>13</v>
      </c>
      <c r="B23" s="1306">
        <v>42</v>
      </c>
      <c r="C23" s="330"/>
      <c r="D23" s="330"/>
      <c r="E23" s="330"/>
      <c r="F23" s="330"/>
    </row>
    <row r="24" spans="1:6">
      <c r="A24" s="1305" t="s">
        <v>14</v>
      </c>
      <c r="B24" s="1306">
        <v>3</v>
      </c>
      <c r="C24" s="330"/>
      <c r="D24" s="330"/>
      <c r="E24" s="330"/>
      <c r="F24" s="330"/>
    </row>
    <row r="25" spans="1:6">
      <c r="A25" s="1305" t="s">
        <v>15</v>
      </c>
      <c r="B25" s="1306">
        <v>337</v>
      </c>
      <c r="C25" s="330"/>
      <c r="D25" s="330"/>
      <c r="E25" s="330"/>
      <c r="F25" s="330"/>
    </row>
    <row r="26" spans="1:6">
      <c r="A26" s="1305" t="s">
        <v>16</v>
      </c>
      <c r="B26" s="1306">
        <v>1044</v>
      </c>
      <c r="C26" s="330"/>
      <c r="D26" s="330"/>
      <c r="E26" s="330"/>
      <c r="F26" s="330"/>
    </row>
    <row r="27" spans="1:6">
      <c r="A27" s="1305" t="s">
        <v>17</v>
      </c>
      <c r="B27" s="1306">
        <v>325</v>
      </c>
      <c r="C27" s="330"/>
      <c r="D27" s="330"/>
      <c r="E27" s="330"/>
      <c r="F27" s="330"/>
    </row>
    <row r="28" spans="1:6" s="43" customFormat="1">
      <c r="A28" s="1307" t="s">
        <v>18</v>
      </c>
      <c r="B28" s="1308">
        <v>48401</v>
      </c>
      <c r="C28" s="336"/>
      <c r="D28" s="336"/>
      <c r="E28" s="336"/>
      <c r="F28" s="336"/>
    </row>
    <row r="29" spans="1:6">
      <c r="A29" s="1307" t="s">
        <v>909</v>
      </c>
      <c r="B29" s="1308">
        <v>471</v>
      </c>
      <c r="C29" s="336"/>
      <c r="D29" s="336"/>
      <c r="E29" s="336"/>
      <c r="F29" s="336"/>
    </row>
    <row r="30" spans="1:6">
      <c r="A30" s="1300" t="s">
        <v>910</v>
      </c>
      <c r="B30" s="1309">
        <v>148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59</v>
      </c>
      <c r="D36" s="1306">
        <v>15734597</v>
      </c>
      <c r="E36" s="1306">
        <v>48</v>
      </c>
      <c r="F36" s="1306">
        <v>3570858</v>
      </c>
    </row>
    <row r="37" spans="1:6">
      <c r="A37" s="1305" t="s">
        <v>24</v>
      </c>
      <c r="B37" s="1305" t="s">
        <v>27</v>
      </c>
      <c r="C37" s="1306">
        <v>0</v>
      </c>
      <c r="D37" s="1306">
        <v>0</v>
      </c>
      <c r="E37" s="1306">
        <v>3</v>
      </c>
      <c r="F37" s="1306">
        <v>78596</v>
      </c>
    </row>
    <row r="38" spans="1:6">
      <c r="A38" s="1305" t="s">
        <v>24</v>
      </c>
      <c r="B38" s="1305" t="s">
        <v>28</v>
      </c>
      <c r="C38" s="1306">
        <v>2</v>
      </c>
      <c r="D38" s="1306">
        <v>3053706</v>
      </c>
      <c r="E38" s="1306">
        <v>2</v>
      </c>
      <c r="F38" s="1306">
        <v>593445</v>
      </c>
    </row>
    <row r="39" spans="1:6">
      <c r="A39" s="1305" t="s">
        <v>29</v>
      </c>
      <c r="B39" s="1305" t="s">
        <v>30</v>
      </c>
      <c r="C39" s="1306">
        <v>22541</v>
      </c>
      <c r="D39" s="1306">
        <v>352502323</v>
      </c>
      <c r="E39" s="1306">
        <v>34745</v>
      </c>
      <c r="F39" s="1306">
        <v>118571288</v>
      </c>
    </row>
    <row r="40" spans="1:6">
      <c r="A40" s="1305" t="s">
        <v>29</v>
      </c>
      <c r="B40" s="1305" t="s">
        <v>28</v>
      </c>
      <c r="C40" s="1306">
        <v>0</v>
      </c>
      <c r="D40" s="1306">
        <v>0</v>
      </c>
      <c r="E40" s="1306">
        <v>0</v>
      </c>
      <c r="F40" s="1306">
        <v>0</v>
      </c>
    </row>
    <row r="41" spans="1:6">
      <c r="A41" s="1305" t="s">
        <v>31</v>
      </c>
      <c r="B41" s="1305" t="s">
        <v>32</v>
      </c>
      <c r="C41" s="1306">
        <v>294</v>
      </c>
      <c r="D41" s="1306">
        <v>17510452</v>
      </c>
      <c r="E41" s="1306">
        <v>657</v>
      </c>
      <c r="F41" s="1306">
        <v>31497716</v>
      </c>
    </row>
    <row r="42" spans="1:6">
      <c r="A42" s="1305" t="s">
        <v>31</v>
      </c>
      <c r="B42" s="1305" t="s">
        <v>33</v>
      </c>
      <c r="C42" s="1306">
        <v>5</v>
      </c>
      <c r="D42" s="1306">
        <v>700572</v>
      </c>
      <c r="E42" s="1306">
        <v>10</v>
      </c>
      <c r="F42" s="1306">
        <v>1756834</v>
      </c>
    </row>
    <row r="43" spans="1:6">
      <c r="A43" s="1305" t="s">
        <v>31</v>
      </c>
      <c r="B43" s="1305" t="s">
        <v>34</v>
      </c>
      <c r="C43" s="1306">
        <v>0</v>
      </c>
      <c r="D43" s="1306">
        <v>0</v>
      </c>
      <c r="E43" s="1306">
        <v>0</v>
      </c>
      <c r="F43" s="1306">
        <v>0</v>
      </c>
    </row>
    <row r="44" spans="1:6">
      <c r="A44" s="1305" t="s">
        <v>31</v>
      </c>
      <c r="B44" s="1305" t="s">
        <v>35</v>
      </c>
      <c r="C44" s="1306">
        <v>25</v>
      </c>
      <c r="D44" s="1306">
        <v>4912564</v>
      </c>
      <c r="E44" s="1306">
        <v>83</v>
      </c>
      <c r="F44" s="1306">
        <v>3807842</v>
      </c>
    </row>
    <row r="45" spans="1:6">
      <c r="A45" s="1305" t="s">
        <v>31</v>
      </c>
      <c r="B45" s="1305" t="s">
        <v>36</v>
      </c>
      <c r="C45" s="1306">
        <v>10</v>
      </c>
      <c r="D45" s="1306">
        <v>40481188</v>
      </c>
      <c r="E45" s="1306">
        <v>17</v>
      </c>
      <c r="F45" s="1306">
        <v>11226916</v>
      </c>
    </row>
    <row r="46" spans="1:6">
      <c r="A46" s="1305" t="s">
        <v>31</v>
      </c>
      <c r="B46" s="1305" t="s">
        <v>37</v>
      </c>
      <c r="C46" s="1306">
        <v>0</v>
      </c>
      <c r="D46" s="1306">
        <v>0</v>
      </c>
      <c r="E46" s="1306">
        <v>0</v>
      </c>
      <c r="F46" s="1306">
        <v>0</v>
      </c>
    </row>
    <row r="47" spans="1:6">
      <c r="A47" s="1305" t="s">
        <v>31</v>
      </c>
      <c r="B47" s="1305" t="s">
        <v>38</v>
      </c>
      <c r="C47" s="1306">
        <v>13</v>
      </c>
      <c r="D47" s="1306">
        <v>3171503</v>
      </c>
      <c r="E47" s="1306">
        <v>20</v>
      </c>
      <c r="F47" s="1306">
        <v>3815575</v>
      </c>
    </row>
    <row r="48" spans="1:6">
      <c r="A48" s="1305" t="s">
        <v>31</v>
      </c>
      <c r="B48" s="1305" t="s">
        <v>28</v>
      </c>
      <c r="C48" s="1306">
        <v>1</v>
      </c>
      <c r="D48" s="1306">
        <v>33754</v>
      </c>
      <c r="E48" s="1306">
        <v>2</v>
      </c>
      <c r="F48" s="1306">
        <v>69139</v>
      </c>
    </row>
    <row r="49" spans="1:6">
      <c r="A49" s="1305" t="s">
        <v>31</v>
      </c>
      <c r="B49" s="1305" t="s">
        <v>39</v>
      </c>
      <c r="C49" s="1306">
        <v>12</v>
      </c>
      <c r="D49" s="1306">
        <v>311670</v>
      </c>
      <c r="E49" s="1306">
        <v>18</v>
      </c>
      <c r="F49" s="1306">
        <v>405360</v>
      </c>
    </row>
    <row r="50" spans="1:6">
      <c r="A50" s="1305" t="s">
        <v>31</v>
      </c>
      <c r="B50" s="1305" t="s">
        <v>40</v>
      </c>
      <c r="C50" s="1306">
        <v>47</v>
      </c>
      <c r="D50" s="1306">
        <v>11587745</v>
      </c>
      <c r="E50" s="1306">
        <v>78</v>
      </c>
      <c r="F50" s="1306">
        <v>11009550</v>
      </c>
    </row>
    <row r="51" spans="1:6">
      <c r="A51" s="1305" t="s">
        <v>41</v>
      </c>
      <c r="B51" s="1305" t="s">
        <v>42</v>
      </c>
      <c r="C51" s="1306">
        <v>31</v>
      </c>
      <c r="D51" s="1306">
        <v>2725147</v>
      </c>
      <c r="E51" s="1306">
        <v>118</v>
      </c>
      <c r="F51" s="1306">
        <v>1979689</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368</v>
      </c>
      <c r="F54" s="1306">
        <v>5102210</v>
      </c>
    </row>
    <row r="55" spans="1:6">
      <c r="A55" s="1305" t="s">
        <v>45</v>
      </c>
      <c r="B55" s="1305" t="s">
        <v>28</v>
      </c>
      <c r="C55" s="1306">
        <v>0</v>
      </c>
      <c r="D55" s="1306">
        <v>0</v>
      </c>
      <c r="E55" s="1306">
        <v>0</v>
      </c>
      <c r="F55" s="1306">
        <v>0</v>
      </c>
    </row>
    <row r="56" spans="1:6">
      <c r="A56" s="1305" t="s">
        <v>47</v>
      </c>
      <c r="B56" s="1305" t="s">
        <v>28</v>
      </c>
      <c r="C56" s="1306">
        <v>436</v>
      </c>
      <c r="D56" s="1306">
        <v>18298882</v>
      </c>
      <c r="E56" s="1306">
        <v>1188</v>
      </c>
      <c r="F56" s="1306">
        <v>5703417</v>
      </c>
    </row>
    <row r="57" spans="1:6">
      <c r="A57" s="1305" t="s">
        <v>48</v>
      </c>
      <c r="B57" s="1305" t="s">
        <v>49</v>
      </c>
      <c r="C57" s="1306">
        <v>278</v>
      </c>
      <c r="D57" s="1306">
        <v>21530185</v>
      </c>
      <c r="E57" s="1306">
        <v>552</v>
      </c>
      <c r="F57" s="1306">
        <v>16112987</v>
      </c>
    </row>
    <row r="58" spans="1:6">
      <c r="A58" s="1305" t="s">
        <v>48</v>
      </c>
      <c r="B58" s="1305" t="s">
        <v>50</v>
      </c>
      <c r="C58" s="1306">
        <v>217</v>
      </c>
      <c r="D58" s="1306">
        <v>32260768</v>
      </c>
      <c r="E58" s="1306">
        <v>317</v>
      </c>
      <c r="F58" s="1306">
        <v>18793667</v>
      </c>
    </row>
    <row r="59" spans="1:6">
      <c r="A59" s="1305" t="s">
        <v>48</v>
      </c>
      <c r="B59" s="1305" t="s">
        <v>51</v>
      </c>
      <c r="C59" s="1306">
        <v>725</v>
      </c>
      <c r="D59" s="1306">
        <v>38373284</v>
      </c>
      <c r="E59" s="1306">
        <v>1382</v>
      </c>
      <c r="F59" s="1306">
        <v>62492659</v>
      </c>
    </row>
    <row r="60" spans="1:6">
      <c r="A60" s="1305" t="s">
        <v>48</v>
      </c>
      <c r="B60" s="1305" t="s">
        <v>52</v>
      </c>
      <c r="C60" s="1306">
        <v>305</v>
      </c>
      <c r="D60" s="1306">
        <v>20672322</v>
      </c>
      <c r="E60" s="1306">
        <v>419</v>
      </c>
      <c r="F60" s="1306">
        <v>18066850</v>
      </c>
    </row>
    <row r="61" spans="1:6">
      <c r="A61" s="1305" t="s">
        <v>48</v>
      </c>
      <c r="B61" s="1305" t="s">
        <v>53</v>
      </c>
      <c r="C61" s="1306">
        <v>1053</v>
      </c>
      <c r="D61" s="1306">
        <v>79364494</v>
      </c>
      <c r="E61" s="1306">
        <v>2486</v>
      </c>
      <c r="F61" s="1306">
        <v>71177355.512522757</v>
      </c>
    </row>
    <row r="62" spans="1:6">
      <c r="A62" s="1305" t="s">
        <v>48</v>
      </c>
      <c r="B62" s="1305" t="s">
        <v>54</v>
      </c>
      <c r="C62" s="1306">
        <v>88</v>
      </c>
      <c r="D62" s="1306">
        <v>23010898</v>
      </c>
      <c r="E62" s="1306">
        <v>98</v>
      </c>
      <c r="F62" s="1306">
        <v>8518507</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1266423</v>
      </c>
      <c r="E65" s="1306">
        <v>0</v>
      </c>
      <c r="F65" s="1306">
        <v>0</v>
      </c>
    </row>
    <row r="66" spans="1:6">
      <c r="A66" s="1305" t="s">
        <v>55</v>
      </c>
      <c r="B66" s="1305" t="s">
        <v>57</v>
      </c>
      <c r="C66" s="1306">
        <v>3</v>
      </c>
      <c r="D66" s="1306">
        <v>52093</v>
      </c>
      <c r="E66" s="1306">
        <v>3</v>
      </c>
      <c r="F66" s="1306">
        <v>46198</v>
      </c>
    </row>
    <row r="67" spans="1:6">
      <c r="A67" s="1307" t="s">
        <v>55</v>
      </c>
      <c r="B67" s="1307" t="s">
        <v>58</v>
      </c>
      <c r="C67" s="1306">
        <v>0</v>
      </c>
      <c r="D67" s="1306">
        <v>0</v>
      </c>
      <c r="E67" s="1306">
        <v>0</v>
      </c>
      <c r="F67" s="1306">
        <v>0</v>
      </c>
    </row>
    <row r="68" spans="1:6">
      <c r="A68" s="1300" t="s">
        <v>55</v>
      </c>
      <c r="B68" s="1300" t="s">
        <v>59</v>
      </c>
      <c r="C68" s="1309">
        <v>21</v>
      </c>
      <c r="D68" s="1309">
        <v>2001806</v>
      </c>
      <c r="E68" s="1309">
        <v>37</v>
      </c>
      <c r="F68" s="1309">
        <v>1042127</v>
      </c>
    </row>
    <row r="69" spans="1:6" ht="15.75" thickBot="1">
      <c r="A69" s="334"/>
      <c r="B69" s="330"/>
      <c r="C69" s="330"/>
      <c r="D69" s="330"/>
      <c r="E69" s="330"/>
      <c r="F69" s="330"/>
    </row>
    <row r="70" spans="1:6" ht="19.5">
      <c r="A70" s="1297" t="s">
        <v>60</v>
      </c>
      <c r="B70" s="331" t="s">
        <v>407</v>
      </c>
      <c r="C70" s="331" t="s">
        <v>766</v>
      </c>
      <c r="D70" s="331"/>
      <c r="E70" s="331"/>
      <c r="F70" s="335"/>
    </row>
    <row r="71" spans="1:6" ht="20.25" thickBot="1">
      <c r="A71" s="1316"/>
      <c r="B71" s="337"/>
      <c r="C71" s="337"/>
      <c r="D71" s="338" t="s">
        <v>447</v>
      </c>
      <c r="E71" s="337"/>
      <c r="F71" s="339"/>
    </row>
    <row r="72" spans="1:6" ht="16.5" thickTop="1" thickBot="1">
      <c r="A72" s="1302" t="s">
        <v>61</v>
      </c>
      <c r="B72" s="1303" t="s">
        <v>62</v>
      </c>
      <c r="C72" s="1317" t="s">
        <v>729</v>
      </c>
      <c r="D72" s="1318"/>
      <c r="E72" s="1318"/>
      <c r="F72" s="1304"/>
    </row>
    <row r="73" spans="1:6">
      <c r="A73" s="1305" t="s">
        <v>63</v>
      </c>
      <c r="B73" s="1305" t="s">
        <v>711</v>
      </c>
      <c r="C73" s="1319" t="s">
        <v>713</v>
      </c>
      <c r="D73" s="1320">
        <v>359573885</v>
      </c>
      <c r="E73" s="450"/>
      <c r="F73" s="330"/>
    </row>
    <row r="74" spans="1:6">
      <c r="A74" s="1305" t="s">
        <v>63</v>
      </c>
      <c r="B74" s="1305" t="s">
        <v>712</v>
      </c>
      <c r="C74" s="1319" t="s">
        <v>714</v>
      </c>
      <c r="D74" s="1320">
        <v>25692954.414576758</v>
      </c>
      <c r="E74" s="450"/>
      <c r="F74" s="330"/>
    </row>
    <row r="75" spans="1:6">
      <c r="A75" s="1305" t="s">
        <v>64</v>
      </c>
      <c r="B75" s="1305" t="s">
        <v>711</v>
      </c>
      <c r="C75" s="1319" t="s">
        <v>715</v>
      </c>
      <c r="D75" s="1320">
        <v>98575302</v>
      </c>
      <c r="E75" s="450"/>
      <c r="F75" s="330"/>
    </row>
    <row r="76" spans="1:6">
      <c r="A76" s="1305" t="s">
        <v>64</v>
      </c>
      <c r="B76" s="1305" t="s">
        <v>712</v>
      </c>
      <c r="C76" s="1319" t="s">
        <v>716</v>
      </c>
      <c r="D76" s="1320">
        <v>259525</v>
      </c>
      <c r="E76" s="450"/>
      <c r="F76" s="330"/>
    </row>
    <row r="77" spans="1:6">
      <c r="A77" s="1305" t="s">
        <v>65</v>
      </c>
      <c r="B77" s="1305" t="s">
        <v>711</v>
      </c>
      <c r="C77" s="1319" t="s">
        <v>717</v>
      </c>
      <c r="D77" s="1320">
        <v>214212155</v>
      </c>
      <c r="E77" s="450"/>
      <c r="F77" s="330"/>
    </row>
    <row r="78" spans="1:6">
      <c r="A78" s="1300" t="s">
        <v>65</v>
      </c>
      <c r="B78" s="1300" t="s">
        <v>712</v>
      </c>
      <c r="C78" s="1300" t="s">
        <v>718</v>
      </c>
      <c r="D78" s="1321">
        <v>22720485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4843003.1708464846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559</v>
      </c>
      <c r="B89" s="1306">
        <v>0</v>
      </c>
      <c r="C89" s="330"/>
      <c r="D89" s="330"/>
      <c r="E89" s="330"/>
      <c r="F89" s="330"/>
    </row>
    <row r="90" spans="1:6">
      <c r="A90" s="1305" t="s">
        <v>560</v>
      </c>
      <c r="B90" s="1306">
        <v>15066.689400527019</v>
      </c>
      <c r="C90" s="330"/>
      <c r="D90" s="330"/>
      <c r="E90" s="330"/>
      <c r="F90" s="330"/>
    </row>
    <row r="91" spans="1:6">
      <c r="A91" s="1305" t="s">
        <v>67</v>
      </c>
      <c r="B91" s="1306">
        <v>13405.295925280983</v>
      </c>
      <c r="C91" s="330"/>
      <c r="D91" s="330"/>
      <c r="E91" s="330"/>
      <c r="F91" s="330"/>
    </row>
    <row r="92" spans="1:6">
      <c r="A92" s="1300" t="s">
        <v>68</v>
      </c>
      <c r="B92" s="1301">
        <v>10522.603152515512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12607</v>
      </c>
      <c r="C97" s="330"/>
      <c r="D97" s="330"/>
      <c r="E97" s="330"/>
      <c r="F97" s="330"/>
    </row>
    <row r="98" spans="1:6">
      <c r="A98" s="1305" t="s">
        <v>71</v>
      </c>
      <c r="B98" s="1306">
        <v>2</v>
      </c>
      <c r="C98" s="330"/>
      <c r="D98" s="330"/>
      <c r="E98" s="330"/>
      <c r="F98" s="330"/>
    </row>
    <row r="99" spans="1:6">
      <c r="A99" s="1305" t="s">
        <v>72</v>
      </c>
      <c r="B99" s="1306">
        <v>137</v>
      </c>
      <c r="C99" s="330"/>
      <c r="D99" s="330"/>
      <c r="E99" s="330"/>
      <c r="F99" s="330"/>
    </row>
    <row r="100" spans="1:6">
      <c r="A100" s="1305" t="s">
        <v>73</v>
      </c>
      <c r="B100" s="1306">
        <v>1808</v>
      </c>
      <c r="C100" s="330"/>
      <c r="D100" s="330"/>
      <c r="E100" s="330"/>
      <c r="F100" s="330"/>
    </row>
    <row r="101" spans="1:6">
      <c r="A101" s="1305" t="s">
        <v>74</v>
      </c>
      <c r="B101" s="1306">
        <v>132</v>
      </c>
      <c r="C101" s="330"/>
      <c r="D101" s="330"/>
      <c r="E101" s="330"/>
      <c r="F101" s="330"/>
    </row>
    <row r="102" spans="1:6">
      <c r="A102" s="1305" t="s">
        <v>75</v>
      </c>
      <c r="B102" s="1306">
        <v>416</v>
      </c>
      <c r="C102" s="330"/>
      <c r="D102" s="330"/>
      <c r="E102" s="330"/>
      <c r="F102" s="330"/>
    </row>
    <row r="103" spans="1:6">
      <c r="A103" s="1305" t="s">
        <v>76</v>
      </c>
      <c r="B103" s="1306">
        <v>298</v>
      </c>
      <c r="C103" s="330"/>
      <c r="D103" s="330"/>
      <c r="E103" s="330"/>
      <c r="F103" s="330"/>
    </row>
    <row r="104" spans="1:6">
      <c r="A104" s="1305" t="s">
        <v>77</v>
      </c>
      <c r="B104" s="1306">
        <v>12509</v>
      </c>
      <c r="C104" s="330"/>
      <c r="D104" s="330"/>
      <c r="E104" s="330"/>
      <c r="F104" s="330"/>
    </row>
    <row r="105" spans="1:6">
      <c r="A105" s="1300" t="s">
        <v>78</v>
      </c>
      <c r="B105" s="1309">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662</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663</v>
      </c>
      <c r="B110" s="1306">
        <v>0</v>
      </c>
      <c r="C110" s="330"/>
      <c r="D110" s="330"/>
      <c r="E110" s="330"/>
      <c r="F110" s="330"/>
    </row>
    <row r="111" spans="1:6">
      <c r="A111" s="1326" t="s">
        <v>664</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61</v>
      </c>
      <c r="C123" s="1306">
        <v>110</v>
      </c>
      <c r="D123" s="330"/>
      <c r="E123" s="330"/>
      <c r="F123" s="330"/>
    </row>
    <row r="124" spans="1:6" s="43" customFormat="1">
      <c r="A124" s="1307" t="s">
        <v>88</v>
      </c>
      <c r="B124" s="1328">
        <v>3</v>
      </c>
      <c r="C124" s="1328">
        <v>3</v>
      </c>
      <c r="D124" s="336"/>
      <c r="E124" s="336"/>
      <c r="F124" s="336"/>
    </row>
    <row r="125" spans="1:6">
      <c r="A125" s="1300" t="s">
        <v>908</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438</v>
      </c>
      <c r="C129" s="330"/>
      <c r="D129" s="330"/>
      <c r="E129" s="330"/>
      <c r="F129" s="330"/>
    </row>
    <row r="130" spans="1:6">
      <c r="A130" s="1305" t="s">
        <v>294</v>
      </c>
      <c r="B130" s="1306">
        <v>6</v>
      </c>
      <c r="C130" s="330"/>
      <c r="D130" s="330"/>
      <c r="E130" s="330"/>
      <c r="F130" s="330"/>
    </row>
    <row r="131" spans="1:6">
      <c r="A131" s="1305" t="s">
        <v>295</v>
      </c>
      <c r="B131" s="1306">
        <v>8</v>
      </c>
      <c r="C131" s="330"/>
      <c r="D131" s="330"/>
      <c r="E131" s="330"/>
      <c r="F131" s="330"/>
    </row>
    <row r="132" spans="1:6">
      <c r="A132" s="1300" t="s">
        <v>296</v>
      </c>
      <c r="B132" s="1301">
        <v>57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688</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688</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689</v>
      </c>
      <c r="B44" s="507"/>
      <c r="E44" s="636"/>
      <c r="F44" s="636"/>
    </row>
    <row r="45" spans="1:14">
      <c r="A45" s="44"/>
      <c r="B45" s="507"/>
      <c r="E45" s="636"/>
      <c r="F45" s="636"/>
    </row>
    <row r="46" spans="1:14" ht="18">
      <c r="A46" s="137" t="s">
        <v>189</v>
      </c>
      <c r="B46" s="508" t="s">
        <v>586</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637</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690</v>
      </c>
    </row>
    <row r="5" spans="1:3" ht="15.75" thickBot="1">
      <c r="A5" s="904" t="s">
        <v>636</v>
      </c>
      <c r="B5" s="905">
        <v>673536</v>
      </c>
      <c r="C5" s="906" t="s">
        <v>737</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702</v>
      </c>
      <c r="B6" s="415" t="s">
        <v>701</v>
      </c>
      <c r="C6" s="416" t="s">
        <v>357</v>
      </c>
    </row>
    <row r="7" spans="1:3" s="330" customFormat="1">
      <c r="A7" s="896" t="s">
        <v>700</v>
      </c>
      <c r="B7" s="417" t="s">
        <v>613</v>
      </c>
      <c r="C7" s="418" t="s">
        <v>612</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407058.20464203844</v>
      </c>
      <c r="C3" s="43" t="s">
        <v>169</v>
      </c>
      <c r="D3" s="43"/>
      <c r="E3" s="154"/>
      <c r="F3" s="43"/>
      <c r="G3" s="43"/>
      <c r="H3" s="43"/>
      <c r="I3" s="43"/>
      <c r="J3" s="43"/>
      <c r="K3" s="96"/>
    </row>
    <row r="4" spans="1:11">
      <c r="A4" s="359" t="s">
        <v>170</v>
      </c>
      <c r="B4" s="49">
        <f>IF(ISERROR('SEAP template'!B78+'SEAP template'!C78),0,'SEAP template'!B78+'SEAP template'!C78)</f>
        <v>42463.86347832351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785</v>
      </c>
      <c r="G6" s="43" t="s">
        <v>856</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530.37476470588251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0.19924846922864553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757.67823529411783</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3188.25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729</v>
      </c>
      <c r="B1" s="864" t="s">
        <v>307</v>
      </c>
      <c r="C1" s="864" t="s">
        <v>311</v>
      </c>
      <c r="D1" s="864" t="s">
        <v>312</v>
      </c>
      <c r="E1" s="864" t="s">
        <v>313</v>
      </c>
      <c r="F1" s="864" t="s">
        <v>314</v>
      </c>
      <c r="H1" s="1073" t="s">
        <v>902</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727</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727</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727</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727</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711</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711</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711</v>
      </c>
      <c r="C9" s="314" t="s">
        <v>63</v>
      </c>
      <c r="D9" s="314" t="s">
        <v>665</v>
      </c>
      <c r="E9" s="314" t="s">
        <v>665</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711</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711</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711</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711</v>
      </c>
      <c r="C13" s="314" t="s">
        <v>63</v>
      </c>
      <c r="D13" s="314" t="s">
        <v>745</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711</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711</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711</v>
      </c>
      <c r="C16" s="314" t="s">
        <v>64</v>
      </c>
      <c r="D16" s="314" t="s">
        <v>665</v>
      </c>
      <c r="E16" s="314" t="s">
        <v>665</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711</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711</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711</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711</v>
      </c>
      <c r="C20" s="314" t="s">
        <v>64</v>
      </c>
      <c r="D20" s="314" t="s">
        <v>745</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711</v>
      </c>
      <c r="C21" s="314" t="s">
        <v>728</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711</v>
      </c>
      <c r="C22" s="314" t="s">
        <v>728</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711</v>
      </c>
      <c r="C23" s="314" t="s">
        <v>728</v>
      </c>
      <c r="D23" s="314" t="s">
        <v>665</v>
      </c>
      <c r="E23" s="314" t="s">
        <v>665</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711</v>
      </c>
      <c r="C24" s="314" t="s">
        <v>728</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711</v>
      </c>
      <c r="C25" s="314" t="s">
        <v>728</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711</v>
      </c>
      <c r="C26" s="314" t="s">
        <v>728</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711</v>
      </c>
      <c r="C27" s="314" t="s">
        <v>728</v>
      </c>
      <c r="D27" s="314" t="s">
        <v>745</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712</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712</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712</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712</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712</v>
      </c>
      <c r="C32" s="314" t="s">
        <v>728</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712</v>
      </c>
      <c r="C33" s="314" t="s">
        <v>728</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743</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673</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5102.21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5102.21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0.19924846922864553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1016.6075321830875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118571.288</v>
      </c>
      <c r="C5" s="17">
        <f>IF(ISERROR('Eigen informatie GS &amp; warmtenet'!B57),0,'Eigen informatie GS &amp; warmtenet'!B57)</f>
        <v>0</v>
      </c>
      <c r="D5" s="30">
        <f>(SUM(HH_hh_gas_kWh,HH_rest_gas_kWh)/1000)*0.902</f>
        <v>317957.09534599999</v>
      </c>
      <c r="E5" s="17">
        <f>B46*B57</f>
        <v>43227.29775037049</v>
      </c>
      <c r="F5" s="17">
        <f>B51*B62</f>
        <v>79888.572502442854</v>
      </c>
      <c r="G5" s="18"/>
      <c r="H5" s="17"/>
      <c r="I5" s="17"/>
      <c r="J5" s="17">
        <f>B50*B61+C50*C61</f>
        <v>0</v>
      </c>
      <c r="K5" s="17"/>
      <c r="L5" s="17"/>
      <c r="M5" s="17"/>
      <c r="N5" s="17">
        <f>B48*B59+C48*C59</f>
        <v>30034.535343223142</v>
      </c>
      <c r="O5" s="17">
        <f>B69*B70*B71</f>
        <v>861.39666666666676</v>
      </c>
      <c r="P5" s="17">
        <f>B77*B78*B79/1000-B77*B78*B79/1000/B80</f>
        <v>2307.0666666666666</v>
      </c>
    </row>
    <row r="6" spans="1:16">
      <c r="A6" s="16" t="s">
        <v>632</v>
      </c>
      <c r="B6" s="763">
        <f>kWh_PV_kleiner_dan_10kW</f>
        <v>13405.295925280983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131976.58392528098</v>
      </c>
      <c r="C8" s="21">
        <f>C5</f>
        <v>0</v>
      </c>
      <c r="D8" s="21">
        <f>D5</f>
        <v>317957.09534599999</v>
      </c>
      <c r="E8" s="21">
        <f>E5</f>
        <v>43227.29775037049</v>
      </c>
      <c r="F8" s="21">
        <f>F5</f>
        <v>79888.572502442854</v>
      </c>
      <c r="G8" s="21"/>
      <c r="H8" s="21"/>
      <c r="I8" s="21"/>
      <c r="J8" s="21">
        <f>J5</f>
        <v>0</v>
      </c>
      <c r="K8" s="21"/>
      <c r="L8" s="21">
        <f>L5</f>
        <v>0</v>
      </c>
      <c r="M8" s="21">
        <f>M5</f>
        <v>0</v>
      </c>
      <c r="N8" s="21">
        <f>N5</f>
        <v>30034.535343223142</v>
      </c>
      <c r="O8" s="21">
        <f>O5</f>
        <v>861.39666666666676</v>
      </c>
      <c r="P8" s="21">
        <f>P5</f>
        <v>2307.0666666666666</v>
      </c>
    </row>
    <row r="9" spans="1:16">
      <c r="B9" s="19"/>
      <c r="C9" s="19"/>
      <c r="D9" s="258"/>
      <c r="E9" s="19"/>
      <c r="F9" s="19"/>
      <c r="G9" s="19"/>
      <c r="H9" s="19"/>
      <c r="I9" s="19"/>
      <c r="J9" s="19"/>
      <c r="K9" s="19"/>
      <c r="L9" s="19"/>
      <c r="M9" s="19"/>
      <c r="N9" s="19"/>
      <c r="O9" s="19"/>
      <c r="P9" s="19"/>
    </row>
    <row r="10" spans="1:16">
      <c r="A10" s="24" t="s">
        <v>213</v>
      </c>
      <c r="B10" s="25">
        <f ca="1">'EF ele_warmte'!B12</f>
        <v>0.19924846922864553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26296.132321138102</v>
      </c>
      <c r="C12" s="23">
        <f ca="1">C10*C8</f>
        <v>0</v>
      </c>
      <c r="D12" s="23">
        <f>D8*D10</f>
        <v>64227.333259892002</v>
      </c>
      <c r="E12" s="23">
        <f>E10*E8</f>
        <v>9812.5965893341017</v>
      </c>
      <c r="F12" s="23">
        <f>F10*F8</f>
        <v>21330.248858152245</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12607</v>
      </c>
      <c r="C18" s="166" t="s">
        <v>110</v>
      </c>
      <c r="D18" s="228"/>
      <c r="E18" s="15"/>
    </row>
    <row r="19" spans="1:7">
      <c r="A19" s="171" t="s">
        <v>71</v>
      </c>
      <c r="B19" s="37">
        <f>aantalw2001_ander</f>
        <v>2</v>
      </c>
      <c r="C19" s="166" t="s">
        <v>110</v>
      </c>
      <c r="D19" s="229"/>
      <c r="E19" s="15"/>
    </row>
    <row r="20" spans="1:7">
      <c r="A20" s="171" t="s">
        <v>72</v>
      </c>
      <c r="B20" s="37">
        <f>aantalw2001_propaan</f>
        <v>137</v>
      </c>
      <c r="C20" s="167">
        <f>IF(ISERROR(B20/SUM($B$20,$B$21,$B$22)*100),0,B20/SUM($B$20,$B$21,$B$22)*100)</f>
        <v>6.5960519980741452</v>
      </c>
      <c r="D20" s="229"/>
      <c r="E20" s="15"/>
    </row>
    <row r="21" spans="1:7">
      <c r="A21" s="171" t="s">
        <v>73</v>
      </c>
      <c r="B21" s="37">
        <f>aantalw2001_elektriciteit</f>
        <v>1808</v>
      </c>
      <c r="C21" s="167">
        <f>IF(ISERROR(B21/SUM($B$20,$B$21,$B$22)*100),0,B21/SUM($B$20,$B$21,$B$22)*100)</f>
        <v>87.048627828598939</v>
      </c>
      <c r="D21" s="229"/>
      <c r="E21" s="15"/>
    </row>
    <row r="22" spans="1:7">
      <c r="A22" s="171" t="s">
        <v>74</v>
      </c>
      <c r="B22" s="37">
        <f>aantalw2001_hout</f>
        <v>132</v>
      </c>
      <c r="C22" s="167">
        <f>IF(ISERROR(B22/SUM($B$20,$B$21,$B$22)*100),0,B22/SUM($B$20,$B$21,$B$22)*100)</f>
        <v>6.3553201733269145</v>
      </c>
      <c r="D22" s="229"/>
      <c r="E22" s="15"/>
    </row>
    <row r="23" spans="1:7">
      <c r="A23" s="171" t="s">
        <v>75</v>
      </c>
      <c r="B23" s="37">
        <f>aantalw2001_niet_gespec</f>
        <v>416</v>
      </c>
      <c r="C23" s="166" t="s">
        <v>110</v>
      </c>
      <c r="D23" s="228"/>
      <c r="E23" s="15"/>
    </row>
    <row r="24" spans="1:7">
      <c r="A24" s="171" t="s">
        <v>76</v>
      </c>
      <c r="B24" s="37">
        <f>aantalw2001_steenkool</f>
        <v>298</v>
      </c>
      <c r="C24" s="166" t="s">
        <v>110</v>
      </c>
      <c r="D24" s="229"/>
      <c r="E24" s="15"/>
    </row>
    <row r="25" spans="1:7">
      <c r="A25" s="171" t="s">
        <v>77</v>
      </c>
      <c r="B25" s="37">
        <f>aantalw2001_stookolie</f>
        <v>12509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738</v>
      </c>
      <c r="B28" s="37">
        <f>aantalHuishoudens</f>
        <v>34440</v>
      </c>
      <c r="C28" s="36"/>
      <c r="D28" s="228"/>
    </row>
    <row r="29" spans="1:7" s="15" customFormat="1">
      <c r="A29" s="230" t="s">
        <v>739</v>
      </c>
      <c r="B29" s="37">
        <f>SUM(HH_hh_gas_aantal,HH_rest_gas_aantal)</f>
        <v>22541</v>
      </c>
      <c r="C29" s="36"/>
      <c r="D29" s="228"/>
    </row>
    <row r="30" spans="1:7" s="15" customFormat="1">
      <c r="A30" s="231"/>
      <c r="B30" s="29"/>
      <c r="C30" s="36"/>
      <c r="D30" s="232"/>
    </row>
    <row r="31" spans="1:7">
      <c r="A31" s="172" t="s">
        <v>740</v>
      </c>
      <c r="B31" s="168" t="s">
        <v>215</v>
      </c>
      <c r="C31" s="165" t="s">
        <v>216</v>
      </c>
      <c r="D31" s="174"/>
      <c r="G31" s="15"/>
    </row>
    <row r="32" spans="1:7">
      <c r="A32" s="171" t="s">
        <v>70</v>
      </c>
      <c r="B32" s="37">
        <f>B29</f>
        <v>22541</v>
      </c>
      <c r="C32" s="167">
        <f>IF(ISERROR(B32/SUM($B$32,$B$34,$B$35,$B$36,$B$38,$B$39)*100),0,B32/SUM($B$32,$B$34,$B$35,$B$36,$B$38,$B$39)*100)</f>
        <v>65.680818205658682</v>
      </c>
      <c r="D32" s="233"/>
      <c r="G32" s="15"/>
    </row>
    <row r="33" spans="1:7">
      <c r="A33" s="171" t="s">
        <v>71</v>
      </c>
      <c r="B33" s="34" t="s">
        <v>110</v>
      </c>
      <c r="C33" s="167"/>
      <c r="D33" s="233"/>
      <c r="G33" s="15"/>
    </row>
    <row r="34" spans="1:7">
      <c r="A34" s="171" t="s">
        <v>72</v>
      </c>
      <c r="B34" s="33">
        <f>IF((($B$28-$B$32-$B$39-$B$77-$B$38)*C20/100)&lt;0,0,($B$28-$B$32-$B$39-$B$77-$B$38)*C20/100)</f>
        <v>541.50948483389504</v>
      </c>
      <c r="C34" s="167">
        <f>IF(ISERROR(B34/SUM($B$32,$B$34,$B$35,$B$36,$B$38,$B$39)*100),0,B34/SUM($B$32,$B$34,$B$35,$B$36,$B$38,$B$39)*100)</f>
        <v>1.5778708145164342</v>
      </c>
      <c r="D34" s="233"/>
      <c r="G34" s="15"/>
    </row>
    <row r="35" spans="1:7">
      <c r="A35" s="171" t="s">
        <v>73</v>
      </c>
      <c r="B35" s="33">
        <f>IF((($B$28-$B$32-$B$39-$B$77-$B$38)*C21/100)&lt;0,0,($B$28-$B$32-$B$39-$B$77-$B$38)*C21/100)</f>
        <v>7146.3441502166588</v>
      </c>
      <c r="C35" s="167">
        <f>IF(ISERROR(B35/SUM($B$32,$B$34,$B$35,$B$36,$B$38,$B$39)*100),0,B35/SUM($B$32,$B$34,$B$35,$B$36,$B$38,$B$39)*100)</f>
        <v>20.823287829530752</v>
      </c>
      <c r="D35" s="233"/>
      <c r="G35" s="15"/>
    </row>
    <row r="36" spans="1:7">
      <c r="A36" s="171" t="s">
        <v>74</v>
      </c>
      <c r="B36" s="33">
        <f>IF((($B$28-$B$32-$B$39-$B$77-$B$38)*C22/100)&lt;0,0,($B$28-$B$32-$B$39-$B$77-$B$38)*C22/100)</f>
        <v>521.74636494944639</v>
      </c>
      <c r="C36" s="167">
        <f>IF(ISERROR(B36/SUM($B$32,$B$34,$B$35,$B$36,$B$38,$B$39)*100),0,B36/SUM($B$32,$B$34,$B$35,$B$36,$B$38,$B$39)*100)</f>
        <v>1.5202842884391923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3568.3999999999996</v>
      </c>
      <c r="C39" s="167">
        <f>IF(ISERROR(B39/SUM($B$32,$B$34,$B$35,$B$36,$B$38,$B$39)*100),0,B39/SUM($B$32,$B$34,$B$35,$B$36,$B$38,$B$39)*100)</f>
        <v>10.397738861854949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696</v>
      </c>
      <c r="C43" s="169" t="s">
        <v>697</v>
      </c>
      <c r="D43" s="174"/>
    </row>
    <row r="44" spans="1:7">
      <c r="A44" s="171" t="s">
        <v>70</v>
      </c>
      <c r="B44" s="33">
        <f t="shared" ref="B44:B52" si="0">B32</f>
        <v>22541</v>
      </c>
      <c r="C44" s="34" t="s">
        <v>110</v>
      </c>
      <c r="D44" s="174"/>
    </row>
    <row r="45" spans="1:7">
      <c r="A45" s="171" t="s">
        <v>71</v>
      </c>
      <c r="B45" s="33" t="str">
        <f t="shared" si="0"/>
        <v>-</v>
      </c>
      <c r="C45" s="34" t="s">
        <v>110</v>
      </c>
      <c r="D45" s="174"/>
    </row>
    <row r="46" spans="1:7">
      <c r="A46" s="171" t="s">
        <v>72</v>
      </c>
      <c r="B46" s="33">
        <f t="shared" si="0"/>
        <v>541.50948483389504</v>
      </c>
      <c r="C46" s="34" t="s">
        <v>110</v>
      </c>
      <c r="D46" s="174"/>
    </row>
    <row r="47" spans="1:7">
      <c r="A47" s="171" t="s">
        <v>73</v>
      </c>
      <c r="B47" s="33">
        <f t="shared" si="0"/>
        <v>7146.3441502166588</v>
      </c>
      <c r="C47" s="34" t="s">
        <v>110</v>
      </c>
      <c r="D47" s="174"/>
    </row>
    <row r="48" spans="1:7">
      <c r="A48" s="171" t="s">
        <v>74</v>
      </c>
      <c r="B48" s="33">
        <f t="shared" si="0"/>
        <v>521.74636494944639</v>
      </c>
      <c r="C48" s="33">
        <f>B48*10</f>
        <v>5217.4636494944643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3568.3999999999996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694</v>
      </c>
      <c r="C54" s="165" t="s">
        <v>695</v>
      </c>
      <c r="D54" s="299" t="s">
        <v>903</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551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195162.02551252278</v>
      </c>
      <c r="C5" s="17">
        <f>IF(ISERROR('Eigen informatie GS &amp; warmtenet'!B58),0,'Eigen informatie GS &amp; warmtenet'!B58)</f>
        <v>0</v>
      </c>
      <c r="D5" s="30">
        <f>SUM(D6:D12)</f>
        <v>194121.179802</v>
      </c>
      <c r="E5" s="17">
        <f>SUM(E6:E12)</f>
        <v>1711.8999050893003</v>
      </c>
      <c r="F5" s="17">
        <f>SUM(F6:F12)</f>
        <v>28141.458509433938</v>
      </c>
      <c r="G5" s="18"/>
      <c r="H5" s="17"/>
      <c r="I5" s="17"/>
      <c r="J5" s="17">
        <f>SUM(J6:J12)</f>
        <v>0</v>
      </c>
      <c r="K5" s="17"/>
      <c r="L5" s="17"/>
      <c r="M5" s="17"/>
      <c r="N5" s="17">
        <f>SUM(N6:N12)</f>
        <v>12734.398191630482</v>
      </c>
      <c r="O5" s="17">
        <f>B38*B39*B40</f>
        <v>9.3800000000000008</v>
      </c>
      <c r="P5" s="17">
        <f>B46*B47*B48/1000-B46*B47*B48/1000/B49</f>
        <v>152.53333333333333</v>
      </c>
      <c r="R5" s="32"/>
    </row>
    <row r="6" spans="1:18">
      <c r="A6" s="32" t="s">
        <v>53</v>
      </c>
      <c r="B6" s="37">
        <f>B26</f>
        <v>71177.355512522758</v>
      </c>
      <c r="C6" s="33"/>
      <c r="D6" s="37">
        <f>IF(ISERROR(TER_kantoor_gas_kWh/1000),0,TER_kantoor_gas_kWh/1000)*0.902</f>
        <v>71586.773588000011</v>
      </c>
      <c r="E6" s="33">
        <f>$C$26*'E Balans VL '!I12/100/3.6*1000000</f>
        <v>206.21124211860041</v>
      </c>
      <c r="F6" s="33">
        <f>$C$26*('E Balans VL '!L12+'E Balans VL '!N12)/100/3.6*1000000</f>
        <v>8055.7084852926118</v>
      </c>
      <c r="G6" s="34"/>
      <c r="H6" s="33"/>
      <c r="I6" s="33"/>
      <c r="J6" s="33">
        <f>$C$26*('E Balans VL '!D12+'E Balans VL '!E12)/100/3.6*1000000</f>
        <v>0</v>
      </c>
      <c r="K6" s="33"/>
      <c r="L6" s="33"/>
      <c r="M6" s="33"/>
      <c r="N6" s="33">
        <f>$C$26*'E Balans VL '!Y12/100/3.6*1000000</f>
        <v>712.43288286316988</v>
      </c>
      <c r="O6" s="33"/>
      <c r="P6" s="33"/>
      <c r="R6" s="32"/>
    </row>
    <row r="7" spans="1:18">
      <c r="A7" s="32" t="s">
        <v>52</v>
      </c>
      <c r="B7" s="37">
        <f t="shared" ref="B7:B12" si="0">B27</f>
        <v>18066.849999999999</v>
      </c>
      <c r="C7" s="33"/>
      <c r="D7" s="37">
        <f>IF(ISERROR(TER_horeca_gas_kWh/1000),0,TER_horeca_gas_kWh/1000)*0.902</f>
        <v>18646.434444000002</v>
      </c>
      <c r="E7" s="33">
        <f>$C$27*'E Balans VL '!I9/100/3.6*1000000</f>
        <v>758.39588521873441</v>
      </c>
      <c r="F7" s="33">
        <f>$C$27*('E Balans VL '!L9+'E Balans VL '!N9)/100/3.6*1000000</f>
        <v>3882.0332181536223</v>
      </c>
      <c r="G7" s="34"/>
      <c r="H7" s="33"/>
      <c r="I7" s="33"/>
      <c r="J7" s="33">
        <f>$C$27*('E Balans VL '!D9+'E Balans VL '!E9)/100/3.6*1000000</f>
        <v>0</v>
      </c>
      <c r="K7" s="33"/>
      <c r="L7" s="33"/>
      <c r="M7" s="33"/>
      <c r="N7" s="33">
        <f>$C$27*'E Balans VL '!Y9/100/3.6*1000000</f>
        <v>4.6556692446649235</v>
      </c>
      <c r="O7" s="33"/>
      <c r="P7" s="33"/>
      <c r="R7" s="32"/>
    </row>
    <row r="8" spans="1:18">
      <c r="A8" s="6" t="s">
        <v>51</v>
      </c>
      <c r="B8" s="37">
        <f t="shared" si="0"/>
        <v>62492.659</v>
      </c>
      <c r="C8" s="33"/>
      <c r="D8" s="37">
        <f>IF(ISERROR(TER_handel_gas_kWh/1000),0,TER_handel_gas_kWh/1000)*0.902</f>
        <v>34612.702168000003</v>
      </c>
      <c r="E8" s="33">
        <f>$C$28*'E Balans VL '!I13/100/3.6*1000000</f>
        <v>671.22316882158577</v>
      </c>
      <c r="F8" s="33">
        <f>$C$28*('E Balans VL '!L13+'E Balans VL '!N13)/100/3.6*1000000</f>
        <v>8090.1907612896812</v>
      </c>
      <c r="G8" s="34"/>
      <c r="H8" s="33"/>
      <c r="I8" s="33"/>
      <c r="J8" s="33">
        <f>$C$28*('E Balans VL '!D13+'E Balans VL '!E13)/100/3.6*1000000</f>
        <v>0</v>
      </c>
      <c r="K8" s="33"/>
      <c r="L8" s="33"/>
      <c r="M8" s="33"/>
      <c r="N8" s="33">
        <f>$C$28*'E Balans VL '!Y13/100/3.6*1000000</f>
        <v>506.9438620555444</v>
      </c>
      <c r="O8" s="33"/>
      <c r="P8" s="33"/>
      <c r="R8" s="32"/>
    </row>
    <row r="9" spans="1:18">
      <c r="A9" s="32" t="s">
        <v>50</v>
      </c>
      <c r="B9" s="37">
        <f t="shared" si="0"/>
        <v>18793.667000000001</v>
      </c>
      <c r="C9" s="33"/>
      <c r="D9" s="37">
        <f>IF(ISERROR(TER_gezond_gas_kWh/1000),0,TER_gezond_gas_kWh/1000)*0.902</f>
        <v>29099.212736000001</v>
      </c>
      <c r="E9" s="33">
        <f>$C$29*'E Balans VL '!I10/100/3.6*1000000</f>
        <v>14.960974473816236</v>
      </c>
      <c r="F9" s="33">
        <f>$C$29*('E Balans VL '!L10+'E Balans VL '!N10)/100/3.6*1000000</f>
        <v>2284.6418168006376</v>
      </c>
      <c r="G9" s="34"/>
      <c r="H9" s="33"/>
      <c r="I9" s="33"/>
      <c r="J9" s="33">
        <f>$C$29*('E Balans VL '!D10+'E Balans VL '!E10)/100/3.6*1000000</f>
        <v>0</v>
      </c>
      <c r="K9" s="33"/>
      <c r="L9" s="33"/>
      <c r="M9" s="33"/>
      <c r="N9" s="33">
        <f>$C$29*'E Balans VL '!Y10/100/3.6*1000000</f>
        <v>151.81026297107073</v>
      </c>
      <c r="O9" s="33"/>
      <c r="P9" s="33"/>
      <c r="R9" s="32"/>
    </row>
    <row r="10" spans="1:18">
      <c r="A10" s="32" t="s">
        <v>49</v>
      </c>
      <c r="B10" s="37">
        <f t="shared" si="0"/>
        <v>16112.986999999999</v>
      </c>
      <c r="C10" s="33"/>
      <c r="D10" s="37">
        <f>IF(ISERROR(TER_ander_gas_kWh/1000),0,TER_ander_gas_kWh/1000)*0.902</f>
        <v>19420.226870000002</v>
      </c>
      <c r="E10" s="33">
        <f>$C$30*'E Balans VL '!I14/100/3.6*1000000</f>
        <v>55.220052916831683</v>
      </c>
      <c r="F10" s="33">
        <f>$C$30*('E Balans VL '!L14+'E Balans VL '!N14)/100/3.6*1000000</f>
        <v>3598.9865411361288</v>
      </c>
      <c r="G10" s="34"/>
      <c r="H10" s="33"/>
      <c r="I10" s="33"/>
      <c r="J10" s="33">
        <f>$C$30*('E Balans VL '!D14+'E Balans VL '!E14)/100/3.6*1000000</f>
        <v>0</v>
      </c>
      <c r="K10" s="33"/>
      <c r="L10" s="33"/>
      <c r="M10" s="33"/>
      <c r="N10" s="33">
        <f>$C$30*'E Balans VL '!Y14/100/3.6*1000000</f>
        <v>11350.07606632736</v>
      </c>
      <c r="O10" s="33"/>
      <c r="P10" s="33"/>
      <c r="R10" s="32"/>
    </row>
    <row r="11" spans="1:18">
      <c r="A11" s="32" t="s">
        <v>54</v>
      </c>
      <c r="B11" s="37">
        <f t="shared" si="0"/>
        <v>8518.5069999999996</v>
      </c>
      <c r="C11" s="33"/>
      <c r="D11" s="37">
        <f>IF(ISERROR(TER_onderwijs_gas_kWh/1000),0,TER_onderwijs_gas_kWh/1000)*0.902</f>
        <v>20755.829996</v>
      </c>
      <c r="E11" s="33">
        <f>$C$31*'E Balans VL '!I11/100/3.6*1000000</f>
        <v>5.8885815397316215</v>
      </c>
      <c r="F11" s="33">
        <f>$C$31*('E Balans VL '!L11+'E Balans VL '!N11)/100/3.6*1000000</f>
        <v>2229.8976867612532</v>
      </c>
      <c r="G11" s="34"/>
      <c r="H11" s="33"/>
      <c r="I11" s="33"/>
      <c r="J11" s="33">
        <f>$C$31*('E Balans VL '!D11+'E Balans VL '!E11)/100/3.6*1000000</f>
        <v>0</v>
      </c>
      <c r="K11" s="33"/>
      <c r="L11" s="33"/>
      <c r="M11" s="33"/>
      <c r="N11" s="33">
        <f>$C$31*'E Balans VL '!Y11/100/3.6*1000000</f>
        <v>8.4794481686726222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energieproductie'!N42+'lokale energieproductie'!N35</f>
        <v>3244.2750000000001</v>
      </c>
      <c r="C13" s="247">
        <f ca="1">'lokale energieproductie'!O42+'lokale energieproductie'!O35</f>
        <v>2866.8214285714284</v>
      </c>
      <c r="D13" s="308">
        <f ca="1">('lokale energieproductie'!P35+'lokale energieproductie'!P42)*(-1)</f>
        <v>-5733.6428571428578</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-3535.7142857142858</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198406.30051252278</v>
      </c>
      <c r="C16" s="21">
        <f t="shared" ca="1" si="1"/>
        <v>2866.8214285714284</v>
      </c>
      <c r="D16" s="21">
        <f t="shared" ca="1" si="1"/>
        <v>188387.53694485713</v>
      </c>
      <c r="E16" s="21">
        <f t="shared" si="1"/>
        <v>1711.8999050893003</v>
      </c>
      <c r="F16" s="21">
        <f t="shared" ca="1" si="1"/>
        <v>28141.458509433938</v>
      </c>
      <c r="G16" s="21">
        <f t="shared" si="1"/>
        <v>0</v>
      </c>
      <c r="H16" s="21">
        <f t="shared" si="1"/>
        <v>0</v>
      </c>
      <c r="I16" s="21">
        <f t="shared" si="1"/>
        <v>0</v>
      </c>
      <c r="J16" s="21">
        <f t="shared" si="1"/>
        <v>0</v>
      </c>
      <c r="K16" s="21">
        <f t="shared" si="1"/>
        <v>0</v>
      </c>
      <c r="L16" s="21">
        <f t="shared" ca="1" si="1"/>
        <v>0</v>
      </c>
      <c r="M16" s="21">
        <f t="shared" si="1"/>
        <v>0</v>
      </c>
      <c r="N16" s="21">
        <f t="shared" ca="1" si="1"/>
        <v>9198.6839059161957</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0.19924846922864553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39532.151662438795</v>
      </c>
      <c r="C20" s="23">
        <f t="shared" ref="C20:P20" ca="1" si="2">C16*C18</f>
        <v>681.29168067226897</v>
      </c>
      <c r="D20" s="23">
        <f t="shared" ca="1" si="2"/>
        <v>38054.282462861142</v>
      </c>
      <c r="E20" s="23">
        <f t="shared" si="2"/>
        <v>388.6012784552712</v>
      </c>
      <c r="F20" s="23">
        <f t="shared" ca="1" si="2"/>
        <v>7513.7694220188623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71177.355512522758</v>
      </c>
      <c r="C26" s="39">
        <f>IF(ISERROR(B26*3.6/1000000/'E Balans VL '!Z12*100),0,B26*3.6/1000000/'E Balans VL '!Z12*100)</f>
        <v>1.5634929030957547</v>
      </c>
      <c r="D26" s="237" t="s">
        <v>693</v>
      </c>
      <c r="F26" s="6"/>
    </row>
    <row r="27" spans="1:18">
      <c r="A27" s="231" t="s">
        <v>52</v>
      </c>
      <c r="B27" s="33">
        <f>IF(ISERROR(TER_horeca_ele_kWh/1000),0,TER_horeca_ele_kWh/1000)</f>
        <v>18066.849999999999</v>
      </c>
      <c r="C27" s="39">
        <f>IF(ISERROR(B27*3.6/1000000/'E Balans VL '!Z9*100),0,B27*3.6/1000000/'E Balans VL '!Z9*100)</f>
        <v>1.4518514899878867</v>
      </c>
      <c r="D27" s="237" t="s">
        <v>693</v>
      </c>
      <c r="F27" s="6"/>
    </row>
    <row r="28" spans="1:18">
      <c r="A28" s="171" t="s">
        <v>51</v>
      </c>
      <c r="B28" s="33">
        <f>IF(ISERROR(TER_handel_ele_kWh/1000),0,TER_handel_ele_kWh/1000)</f>
        <v>62492.659</v>
      </c>
      <c r="C28" s="39">
        <f>IF(ISERROR(B28*3.6/1000000/'E Balans VL '!Z13*100),0,B28*3.6/1000000/'E Balans VL '!Z13*100)</f>
        <v>1.8478642683417483</v>
      </c>
      <c r="D28" s="237" t="s">
        <v>693</v>
      </c>
      <c r="F28" s="6"/>
    </row>
    <row r="29" spans="1:18">
      <c r="A29" s="231" t="s">
        <v>50</v>
      </c>
      <c r="B29" s="33">
        <f>IF(ISERROR(TER_gezond_ele_kWh/1000),0,TER_gezond_ele_kWh/1000)</f>
        <v>18793.667000000001</v>
      </c>
      <c r="C29" s="39">
        <f>IF(ISERROR(B29*3.6/1000000/'E Balans VL '!Z10*100),0,B29*3.6/1000000/'E Balans VL '!Z10*100)</f>
        <v>2.1175610611894049</v>
      </c>
      <c r="D29" s="237" t="s">
        <v>693</v>
      </c>
      <c r="F29" s="6"/>
    </row>
    <row r="30" spans="1:18">
      <c r="A30" s="231" t="s">
        <v>49</v>
      </c>
      <c r="B30" s="33">
        <f>IF(ISERROR(TER_ander_ele_kWh/1000),0,TER_ander_ele_kWh/1000)</f>
        <v>16112.986999999999</v>
      </c>
      <c r="C30" s="39">
        <f>IF(ISERROR(B30*3.6/1000000/'E Balans VL '!Z14*100),0,B30*3.6/1000000/'E Balans VL '!Z14*100)</f>
        <v>1.2185976629028834</v>
      </c>
      <c r="D30" s="237" t="s">
        <v>693</v>
      </c>
      <c r="F30" s="6"/>
    </row>
    <row r="31" spans="1:18">
      <c r="A31" s="231" t="s">
        <v>54</v>
      </c>
      <c r="B31" s="33">
        <f>IF(ISERROR(TER_onderwijs_ele_kWh/1000),0,TER_onderwijs_ele_kWh/1000)</f>
        <v>8518.5069999999996</v>
      </c>
      <c r="C31" s="39">
        <f>IF(ISERROR(B31*3.6/1000000/'E Balans VL '!Z11*100),0,B31*3.6/1000000/'E Balans VL '!Z11*100)</f>
        <v>1.7682443045494285</v>
      </c>
      <c r="D31" s="237" t="s">
        <v>693</v>
      </c>
    </row>
    <row r="32" spans="1:18">
      <c r="A32" s="231" t="s">
        <v>259</v>
      </c>
      <c r="B32" s="33">
        <f>IF(ISERROR(TER_rest_ele_kWh/1000),0,TER_rest_ele_kWh/1000)</f>
        <v>0</v>
      </c>
      <c r="C32" s="39">
        <f>IF(ISERROR(B32*3.6/1000000/'E Balans VL '!Z8*100),0,B32*3.6/1000000/'E Balans VL '!Z8*100)</f>
        <v>0</v>
      </c>
      <c r="D32" s="237" t="s">
        <v>693</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8</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63588.931999999993</v>
      </c>
      <c r="C5" s="17">
        <f>IF(ISERROR('Eigen informatie GS &amp; warmtenet'!B59),0,'Eigen informatie GS &amp; warmtenet'!B59)</f>
        <v>0</v>
      </c>
      <c r="D5" s="30">
        <f>SUM(D6:D15)</f>
        <v>70995.922095999995</v>
      </c>
      <c r="E5" s="17">
        <f>SUM(E6:E15)</f>
        <v>8921.1952156610514</v>
      </c>
      <c r="F5" s="17">
        <f>SUM(F6:F15)</f>
        <v>47296.872827876585</v>
      </c>
      <c r="G5" s="18"/>
      <c r="H5" s="17"/>
      <c r="I5" s="17"/>
      <c r="J5" s="17">
        <f>SUM(J6:J15)</f>
        <v>280.43164003758278</v>
      </c>
      <c r="K5" s="17"/>
      <c r="L5" s="17"/>
      <c r="M5" s="17"/>
      <c r="N5" s="17">
        <f>SUM(N6:N15)</f>
        <v>8738.670508647614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3807.8420000000001</v>
      </c>
      <c r="C8" s="33"/>
      <c r="D8" s="37">
        <f>IF( ISERROR(IND_metaal_Gas_kWH/1000),0,IND_metaal_Gas_kWH/1000)*0.902</f>
        <v>4431.1327280000005</v>
      </c>
      <c r="E8" s="33">
        <f>C30*'E Balans VL '!I18/100/3.6*1000000</f>
        <v>95.296958098515844</v>
      </c>
      <c r="F8" s="33">
        <f>C30*'E Balans VL '!L18/100/3.6*1000000+C30*'E Balans VL '!N18/100/3.6*1000000</f>
        <v>1193.3966239802144</v>
      </c>
      <c r="G8" s="34"/>
      <c r="H8" s="33"/>
      <c r="I8" s="33"/>
      <c r="J8" s="40">
        <f>C30*'E Balans VL '!D18/100/3.6*1000000+C30*'E Balans VL '!E18/100/3.6*1000000</f>
        <v>0</v>
      </c>
      <c r="K8" s="33"/>
      <c r="L8" s="33"/>
      <c r="M8" s="33"/>
      <c r="N8" s="33">
        <f>C30*'E Balans VL '!Y18/100/3.6*1000000</f>
        <v>95.662873251725529</v>
      </c>
      <c r="O8" s="33"/>
      <c r="P8" s="33"/>
      <c r="R8" s="32"/>
    </row>
    <row r="9" spans="1:18">
      <c r="A9" s="6" t="s">
        <v>32</v>
      </c>
      <c r="B9" s="37">
        <f t="shared" si="0"/>
        <v>31497.716</v>
      </c>
      <c r="C9" s="33"/>
      <c r="D9" s="37">
        <f>IF( ISERROR(IND_andere_gas_kWh/1000),0,IND_andere_gas_kWh/1000)*0.902</f>
        <v>15794.427704000002</v>
      </c>
      <c r="E9" s="33">
        <f>C31*'E Balans VL '!I19/100/3.6*1000000</f>
        <v>8660.5800194271687</v>
      </c>
      <c r="F9" s="33">
        <f>C31*'E Balans VL '!L19/100/3.6*1000000+C31*'E Balans VL '!N19/100/3.6*1000000</f>
        <v>24825.681204108339</v>
      </c>
      <c r="G9" s="34"/>
      <c r="H9" s="33"/>
      <c r="I9" s="33"/>
      <c r="J9" s="40">
        <f>C31*'E Balans VL '!D19/100/3.6*1000000+C31*'E Balans VL '!E19/100/3.6*1000000</f>
        <v>0</v>
      </c>
      <c r="K9" s="33"/>
      <c r="L9" s="33"/>
      <c r="M9" s="33"/>
      <c r="N9" s="33">
        <f>C31*'E Balans VL '!Y19/100/3.6*1000000</f>
        <v>2537.4758494181274</v>
      </c>
      <c r="O9" s="33"/>
      <c r="P9" s="33"/>
      <c r="R9" s="32"/>
    </row>
    <row r="10" spans="1:18">
      <c r="A10" s="6" t="s">
        <v>40</v>
      </c>
      <c r="B10" s="37">
        <f t="shared" si="0"/>
        <v>11009.55</v>
      </c>
      <c r="C10" s="33"/>
      <c r="D10" s="37">
        <f>IF( ISERROR(IND_voed_gas_kWh/1000),0,IND_voed_gas_kWh/1000)*0.902</f>
        <v>10452.145990000001</v>
      </c>
      <c r="E10" s="33">
        <f>C32*'E Balans VL '!I20/100/3.6*1000000</f>
        <v>112.23629705429686</v>
      </c>
      <c r="F10" s="33">
        <f>C32*'E Balans VL '!L20/100/3.6*1000000+C32*'E Balans VL '!N20/100/3.6*1000000</f>
        <v>20796.971091911688</v>
      </c>
      <c r="G10" s="34"/>
      <c r="H10" s="33"/>
      <c r="I10" s="33"/>
      <c r="J10" s="40">
        <f>C32*'E Balans VL '!D20/100/3.6*1000000+C32*'E Balans VL '!E20/100/3.6*1000000</f>
        <v>263.49455491069227</v>
      </c>
      <c r="K10" s="33"/>
      <c r="L10" s="33"/>
      <c r="M10" s="33"/>
      <c r="N10" s="33">
        <f>C32*'E Balans VL '!Y20/100/3.6*1000000</f>
        <v>5803.3009946555803</v>
      </c>
      <c r="O10" s="33"/>
      <c r="P10" s="33"/>
      <c r="R10" s="32"/>
    </row>
    <row r="11" spans="1:18">
      <c r="A11" s="6" t="s">
        <v>39</v>
      </c>
      <c r="B11" s="37">
        <f t="shared" si="0"/>
        <v>405.36</v>
      </c>
      <c r="C11" s="33"/>
      <c r="D11" s="37">
        <f>IF( ISERROR(IND_textiel_gas_kWh/1000),0,IND_textiel_gas_kWh/1000)*0.902</f>
        <v>281.12634000000003</v>
      </c>
      <c r="E11" s="33">
        <f>C33*'E Balans VL '!I21/100/3.6*1000000</f>
        <v>1.0744023092067889</v>
      </c>
      <c r="F11" s="33">
        <f>C33*'E Balans VL '!L21/100/3.6*1000000+C33*'E Balans VL '!N21/100/3.6*1000000</f>
        <v>18.103795759977018</v>
      </c>
      <c r="G11" s="34"/>
      <c r="H11" s="33"/>
      <c r="I11" s="33"/>
      <c r="J11" s="40">
        <f>C33*'E Balans VL '!D21/100/3.6*1000000+C33*'E Balans VL '!E21/100/3.6*1000000</f>
        <v>0</v>
      </c>
      <c r="K11" s="33"/>
      <c r="L11" s="33"/>
      <c r="M11" s="33"/>
      <c r="N11" s="33">
        <f>C33*'E Balans VL '!Y21/100/3.6*1000000</f>
        <v>3.8202282316020209</v>
      </c>
      <c r="O11" s="33"/>
      <c r="P11" s="33"/>
      <c r="R11" s="32"/>
    </row>
    <row r="12" spans="1:18">
      <c r="A12" s="6" t="s">
        <v>36</v>
      </c>
      <c r="B12" s="37">
        <f t="shared" si="0"/>
        <v>11226.915999999999</v>
      </c>
      <c r="C12" s="33"/>
      <c r="D12" s="37">
        <f>IF( ISERROR(IND_min_gas_kWh/1000),0,IND_min_gas_kWh/1000)*0.902</f>
        <v>36514.031576000001</v>
      </c>
      <c r="E12" s="33">
        <f>C34*'E Balans VL '!I22/100/3.6*1000000</f>
        <v>34.001250035620302</v>
      </c>
      <c r="F12" s="33">
        <f>C34*'E Balans VL '!L22/100/3.6*1000000+C34*'E Balans VL '!N22/100/3.6*1000000</f>
        <v>350.850777185033</v>
      </c>
      <c r="G12" s="34"/>
      <c r="H12" s="33"/>
      <c r="I12" s="33"/>
      <c r="J12" s="40">
        <f>C34*'E Balans VL '!D22/100/3.6*1000000+C34*'E Balans VL '!E22/100/3.6*1000000</f>
        <v>16.647024181071078</v>
      </c>
      <c r="K12" s="33"/>
      <c r="L12" s="33"/>
      <c r="M12" s="33"/>
      <c r="N12" s="33">
        <f>C34*'E Balans VL '!Y22/100/3.6*1000000</f>
        <v>0</v>
      </c>
      <c r="O12" s="33"/>
      <c r="P12" s="33"/>
      <c r="R12" s="32"/>
    </row>
    <row r="13" spans="1:18">
      <c r="A13" s="6" t="s">
        <v>38</v>
      </c>
      <c r="B13" s="37">
        <f t="shared" si="0"/>
        <v>3815.5749999999998</v>
      </c>
      <c r="C13" s="33"/>
      <c r="D13" s="37">
        <f>IF( ISERROR(IND_papier_gas_kWh/1000),0,IND_papier_gas_kWh/1000)*0.902</f>
        <v>2860.6957060000004</v>
      </c>
      <c r="E13" s="33">
        <f>C35*'E Balans VL '!I23/100/3.6*1000000</f>
        <v>7.9023133701109236</v>
      </c>
      <c r="F13" s="33">
        <f>C35*'E Balans VL '!L23/100/3.6*1000000+C35*'E Balans VL '!N23/100/3.6*1000000</f>
        <v>75.671032192651751</v>
      </c>
      <c r="G13" s="34"/>
      <c r="H13" s="33"/>
      <c r="I13" s="33"/>
      <c r="J13" s="40">
        <f>C35*'E Balans VL '!D23/100/3.6*1000000+C35*'E Balans VL '!E23/100/3.6*1000000</f>
        <v>0</v>
      </c>
      <c r="K13" s="33"/>
      <c r="L13" s="33"/>
      <c r="M13" s="33"/>
      <c r="N13" s="33">
        <f>C35*'E Balans VL '!Y23/100/3.6*1000000</f>
        <v>264.62941225267548</v>
      </c>
      <c r="O13" s="33"/>
      <c r="P13" s="33"/>
      <c r="R13" s="32"/>
    </row>
    <row r="14" spans="1:18">
      <c r="A14" s="6" t="s">
        <v>33</v>
      </c>
      <c r="B14" s="37">
        <f t="shared" si="0"/>
        <v>1756.8340000000001</v>
      </c>
      <c r="C14" s="33"/>
      <c r="D14" s="37">
        <f>IF( ISERROR(IND_chemie_gas_kWh/1000),0,IND_chemie_gas_kWh/1000)*0.902</f>
        <v>631.91594399999997</v>
      </c>
      <c r="E14" s="33">
        <f>C36*'E Balans VL '!I24/100/3.6*1000000</f>
        <v>6.5866593897426746</v>
      </c>
      <c r="F14" s="33">
        <f>C36*'E Balans VL '!L24/100/3.6*1000000+C36*'E Balans VL '!N24/100/3.6*1000000</f>
        <v>20.438923338073781</v>
      </c>
      <c r="G14" s="34"/>
      <c r="H14" s="33"/>
      <c r="I14" s="33"/>
      <c r="J14" s="40">
        <f>C36*'E Balans VL '!D24/100/3.6*1000000+C36*'E Balans VL '!E24/100/3.6*1000000</f>
        <v>0</v>
      </c>
      <c r="K14" s="33"/>
      <c r="L14" s="33"/>
      <c r="M14" s="33"/>
      <c r="N14" s="33">
        <f>C36*'E Balans VL '!Y24/100/3.6*1000000</f>
        <v>30.01466575109356</v>
      </c>
      <c r="O14" s="33"/>
      <c r="P14" s="33"/>
      <c r="R14" s="32"/>
    </row>
    <row r="15" spans="1:18">
      <c r="A15" s="6" t="s">
        <v>269</v>
      </c>
      <c r="B15" s="37">
        <f t="shared" si="0"/>
        <v>69.138999999999996</v>
      </c>
      <c r="C15" s="33"/>
      <c r="D15" s="37">
        <f>IF( ISERROR(IND_rest_gas_kWh/1000),0,IND_rest_gas_kWh/1000)*0.902</f>
        <v>30.446107999999999</v>
      </c>
      <c r="E15" s="33">
        <f>C37*'E Balans VL '!I15/100/3.6*1000000</f>
        <v>3.5173159763900919</v>
      </c>
      <c r="F15" s="33">
        <f>C37*'E Balans VL '!L15/100/3.6*1000000+C37*'E Balans VL '!N15/100/3.6*1000000</f>
        <v>15.759379400606655</v>
      </c>
      <c r="G15" s="34"/>
      <c r="H15" s="33"/>
      <c r="I15" s="33"/>
      <c r="J15" s="40">
        <f>C37*'E Balans VL '!D15/100/3.6*1000000+C37*'E Balans VL '!E15/100/3.6*1000000</f>
        <v>0.29006094581946018</v>
      </c>
      <c r="K15" s="33"/>
      <c r="L15" s="33"/>
      <c r="M15" s="33"/>
      <c r="N15" s="33">
        <f>C37*'E Balans VL '!Y15/100/3.6*1000000</f>
        <v>3.7664850868101358</v>
      </c>
      <c r="O15" s="33"/>
      <c r="P15" s="33"/>
      <c r="R15" s="32"/>
    </row>
    <row r="16" spans="1:18">
      <c r="A16" s="16" t="s">
        <v>493</v>
      </c>
      <c r="B16" s="247">
        <f>'lokale energieproductie'!N41+'lokale energieproductie'!N34</f>
        <v>225</v>
      </c>
      <c r="C16" s="247">
        <f>'lokale energieproductie'!O41+'lokale energieproductie'!O34</f>
        <v>321.42857142857144</v>
      </c>
      <c r="D16" s="308">
        <f>('lokale energieproductie'!P34+'lokale energieproductie'!P41)*(-1)</f>
        <v>-642.85714285714289</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63813.931999999993</v>
      </c>
      <c r="C18" s="21">
        <f>C5+C16</f>
        <v>321.42857142857144</v>
      </c>
      <c r="D18" s="21">
        <f>MAX((D5+D16),0)</f>
        <v>70353.06495314285</v>
      </c>
      <c r="E18" s="21">
        <f>MAX((E5+E16),0)</f>
        <v>8921.1952156610514</v>
      </c>
      <c r="F18" s="21">
        <f>MAX((F5+F16),0)</f>
        <v>47296.872827876585</v>
      </c>
      <c r="G18" s="21"/>
      <c r="H18" s="21"/>
      <c r="I18" s="21"/>
      <c r="J18" s="21">
        <f>MAX((J5+J16),0)</f>
        <v>280.43164003758278</v>
      </c>
      <c r="K18" s="21"/>
      <c r="L18" s="21">
        <f>MAX((L5+L16),0)</f>
        <v>0</v>
      </c>
      <c r="M18" s="21"/>
      <c r="N18" s="21">
        <f>MAX((N5+N16),0)</f>
        <v>8738.670508647614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0.19924846922864553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12714.828266460878</v>
      </c>
      <c r="C22" s="23">
        <f ca="1">C18*C20</f>
        <v>76.386554621848759</v>
      </c>
      <c r="D22" s="23">
        <f>D18*D20</f>
        <v>14211.319120534856</v>
      </c>
      <c r="E22" s="23">
        <f>E18*E20</f>
        <v>2025.1113139550587</v>
      </c>
      <c r="F22" s="23">
        <f>F18*F20</f>
        <v>12628.265045043048</v>
      </c>
      <c r="G22" s="23"/>
      <c r="H22" s="23"/>
      <c r="I22" s="23"/>
      <c r="J22" s="23">
        <f>J18*J20</f>
        <v>99.272800573304295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693</v>
      </c>
    </row>
    <row r="29" spans="1:18">
      <c r="A29" s="171" t="s">
        <v>37</v>
      </c>
      <c r="B29" s="37">
        <f>IF( ISERROR(IND_nonf_ele_kWh/1000),0,IND_nonf_ele_kWh/1000)</f>
        <v>0</v>
      </c>
      <c r="C29" s="39">
        <f>IF(ISERROR(B29*3.6/1000000/'E Balans VL '!Z17*100),0,B29*3.6/1000000/'E Balans VL '!Z17*100)</f>
        <v>0</v>
      </c>
      <c r="D29" s="237" t="s">
        <v>693</v>
      </c>
    </row>
    <row r="30" spans="1:18">
      <c r="A30" s="171" t="s">
        <v>35</v>
      </c>
      <c r="B30" s="37">
        <f>IF( ISERROR(IND_metaal_ele_kWh/1000),0,IND_metaal_ele_kWh/1000)</f>
        <v>3807.8420000000001</v>
      </c>
      <c r="C30" s="39">
        <f>IF(ISERROR(B30*3.6/1000000/'E Balans VL '!Z18*100),0,B30*3.6/1000000/'E Balans VL '!Z18*100)</f>
        <v>0.53297098226347206</v>
      </c>
      <c r="D30" s="237" t="s">
        <v>693</v>
      </c>
    </row>
    <row r="31" spans="1:18">
      <c r="A31" s="6" t="s">
        <v>32</v>
      </c>
      <c r="B31" s="37">
        <f>IF( ISERROR(IND_ander_ele_kWh/1000),0,IND_ander_ele_kWh/1000)</f>
        <v>31497.716</v>
      </c>
      <c r="C31" s="39">
        <f>IF(ISERROR(B31*3.6/1000000/'E Balans VL '!Z19*100),0,B31*3.6/1000000/'E Balans VL '!Z19*100)</f>
        <v>1.3786499196645139</v>
      </c>
      <c r="D31" s="237" t="s">
        <v>693</v>
      </c>
    </row>
    <row r="32" spans="1:18">
      <c r="A32" s="171" t="s">
        <v>40</v>
      </c>
      <c r="B32" s="37">
        <f>IF( ISERROR(IND_voed_ele_kWh/1000),0,IND_voed_ele_kWh/1000)</f>
        <v>11009.55</v>
      </c>
      <c r="C32" s="39">
        <f>IF(ISERROR(B32*3.6/1000000/'E Balans VL '!Z20*100),0,B32*3.6/1000000/'E Balans VL '!Z20*100)</f>
        <v>2.7255989708783455</v>
      </c>
      <c r="D32" s="237" t="s">
        <v>693</v>
      </c>
    </row>
    <row r="33" spans="1:5">
      <c r="A33" s="171" t="s">
        <v>39</v>
      </c>
      <c r="B33" s="37">
        <f>IF( ISERROR(IND_textiel_ele_kWh/1000),0,IND_textiel_ele_kWh/1000)</f>
        <v>405.36</v>
      </c>
      <c r="C33" s="39">
        <f>IF(ISERROR(B33*3.6/1000000/'E Balans VL '!Z21*100),0,B33*3.6/1000000/'E Balans VL '!Z21*100)</f>
        <v>4.5676931517814587E-2</v>
      </c>
      <c r="D33" s="237" t="s">
        <v>693</v>
      </c>
    </row>
    <row r="34" spans="1:5">
      <c r="A34" s="171" t="s">
        <v>36</v>
      </c>
      <c r="B34" s="37">
        <f>IF( ISERROR(IND_min_ele_kWh/1000),0,IND_min_ele_kWh/1000)</f>
        <v>11226.915999999999</v>
      </c>
      <c r="C34" s="39">
        <f>IF(ISERROR(B34*3.6/1000000/'E Balans VL '!Z22*100),0,B34*3.6/1000000/'E Balans VL '!Z22*100)</f>
        <v>0.31857407272439636</v>
      </c>
      <c r="D34" s="237" t="s">
        <v>693</v>
      </c>
    </row>
    <row r="35" spans="1:5">
      <c r="A35" s="171" t="s">
        <v>38</v>
      </c>
      <c r="B35" s="37">
        <f>IF( ISERROR(IND_papier_ele_kWh/1000),0,IND_papier_ele_kWh/1000)</f>
        <v>3815.5749999999998</v>
      </c>
      <c r="C35" s="39">
        <f>IF(ISERROR(B35*3.6/1000000/'E Balans VL '!Z22*100),0,B35*3.6/1000000/'E Balans VL '!Z22*100)</f>
        <v>0.10827045179062432</v>
      </c>
      <c r="D35" s="237" t="s">
        <v>693</v>
      </c>
    </row>
    <row r="36" spans="1:5">
      <c r="A36" s="171" t="s">
        <v>33</v>
      </c>
      <c r="B36" s="37">
        <f>IF( ISERROR(IND_chemie_ele_kWh/1000),0,IND_chemie_ele_kWh/1000)</f>
        <v>1756.8340000000001</v>
      </c>
      <c r="C36" s="39">
        <f>IF(ISERROR(B36*3.6/1000000/'E Balans VL '!Z24*100),0,B36*3.6/1000000/'E Balans VL '!Z24*100)</f>
        <v>4.4796585479405328E-2</v>
      </c>
      <c r="D36" s="237" t="s">
        <v>693</v>
      </c>
    </row>
    <row r="37" spans="1:5">
      <c r="A37" s="171" t="s">
        <v>269</v>
      </c>
      <c r="B37" s="37">
        <f>IF( ISERROR(IND_rest_ele_kWh/1000),0,IND_rest_ele_kWh/1000)</f>
        <v>69.138999999999996</v>
      </c>
      <c r="C37" s="39">
        <f>IF(ISERROR(B37*3.6/1000000/'E Balans VL '!Z15*100),0,B37*3.6/1000000/'E Balans VL '!Z15*100)</f>
        <v>5.1265384790229608E-4</v>
      </c>
      <c r="D37" s="237" t="s">
        <v>693</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1979.6890000000001</v>
      </c>
      <c r="C5" s="17">
        <f>'Eigen informatie GS &amp; warmtenet'!B60</f>
        <v>0</v>
      </c>
      <c r="D5" s="30">
        <f>IF(ISERROR(SUM(LB_lb_gas_kWh,LB_rest_gas_kWh)/1000),0,SUM(LB_lb_gas_kWh,LB_rest_gas_kWh)/1000)*0.902</f>
        <v>2458.082594</v>
      </c>
      <c r="E5" s="17">
        <f>B17*'E Balans VL '!I25/3.6*1000000/100</f>
        <v>18.336708687972099</v>
      </c>
      <c r="F5" s="17">
        <f>B17*('E Balans VL '!L25/3.6*1000000+'E Balans VL '!N25/3.6*1000000)/100</f>
        <v>5022.848123367482</v>
      </c>
      <c r="G5" s="18"/>
      <c r="H5" s="17"/>
      <c r="I5" s="17"/>
      <c r="J5" s="17">
        <f>('E Balans VL '!D25+'E Balans VL '!E25)/3.6*1000000*landbouw!B17/100</f>
        <v>303.50841709372173</v>
      </c>
      <c r="K5" s="17"/>
      <c r="L5" s="17">
        <f>L6*(-1)</f>
        <v>0</v>
      </c>
      <c r="M5" s="17"/>
      <c r="N5" s="17">
        <f>N6*(-1)</f>
        <v>0</v>
      </c>
      <c r="O5" s="17"/>
      <c r="P5" s="17"/>
      <c r="R5" s="32"/>
    </row>
    <row r="6" spans="1:18">
      <c r="A6" s="16" t="s">
        <v>493</v>
      </c>
      <c r="B6" s="17" t="s">
        <v>210</v>
      </c>
      <c r="C6" s="17">
        <f>'lokale energieproductie'!O43+'lokale energieproductie'!O36</f>
        <v>0</v>
      </c>
      <c r="D6" s="308">
        <f>('lokale energieproductie'!P36+'lokale energieproductie'!P43)*(-1)</f>
        <v>0</v>
      </c>
      <c r="E6" s="248"/>
      <c r="F6" s="308">
        <f>('lokale energieproductie'!S36+'lokale energieproductie'!S872)*(-1)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1979.6890000000001</v>
      </c>
      <c r="C8" s="21">
        <f>C5+C6</f>
        <v>0</v>
      </c>
      <c r="D8" s="21">
        <f>MAX((D5+D6),0)</f>
        <v>2458.082594</v>
      </c>
      <c r="E8" s="21">
        <f>MAX((E5+E6),0)</f>
        <v>18.336708687972099</v>
      </c>
      <c r="F8" s="21">
        <f>MAX((F5+F6),0)</f>
        <v>5022.848123367482</v>
      </c>
      <c r="G8" s="21"/>
      <c r="H8" s="21"/>
      <c r="I8" s="21"/>
      <c r="J8" s="21">
        <f>MAX((J5+J6),0)</f>
        <v>303.50841709372173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0.19924846922864553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394.45000279878803</v>
      </c>
      <c r="C12" s="23">
        <f ca="1">C8*C10</f>
        <v>0</v>
      </c>
      <c r="D12" s="23">
        <f>D8*D10</f>
        <v>496.53268398800003</v>
      </c>
      <c r="E12" s="23">
        <f>E8*E10</f>
        <v>4.1624328721696662</v>
      </c>
      <c r="F12" s="23">
        <f>F8*F10</f>
        <v>1341.1004489391178</v>
      </c>
      <c r="G12" s="23"/>
      <c r="H12" s="23"/>
      <c r="I12" s="23"/>
      <c r="J12" s="23">
        <f>J8*J10</f>
        <v>107.44197965117749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0.28146979913757297</v>
      </c>
      <c r="C17" s="237" t="s">
        <v>693</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221.02401192280777</v>
      </c>
      <c r="C26" s="247">
        <f>B26*'GWP N2O_CH4'!B5</f>
        <v>4641.5042503789637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70.6184180364166</v>
      </c>
      <c r="C27" s="247">
        <f>B27*'GWP N2O_CH4'!B5</f>
        <v>1482.9867787647486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5.9447262389105759</v>
      </c>
      <c r="C28" s="247">
        <f>B28*'GWP N2O_CH4'!B4</f>
        <v>1842.8651340622785</v>
      </c>
      <c r="D28" s="50"/>
    </row>
    <row r="29" spans="1:4">
      <c r="A29" s="41" t="s">
        <v>276</v>
      </c>
      <c r="B29" s="247">
        <f>B34*'ha_N2O bodem landbouw'!B4</f>
        <v>20.322746543099392</v>
      </c>
      <c r="C29" s="247">
        <f>B29*'GWP N2O_CH4'!B4</f>
        <v>6300.0514283608118</v>
      </c>
      <c r="D29" s="50"/>
    </row>
    <row r="31" spans="1:4">
      <c r="A31" s="193" t="s">
        <v>500</v>
      </c>
      <c r="B31" s="203"/>
      <c r="C31" s="225"/>
    </row>
    <row r="32" spans="1:4">
      <c r="A32" s="236"/>
      <c r="B32" s="32"/>
      <c r="C32" s="237"/>
    </row>
    <row r="33" spans="1:5">
      <c r="A33" s="238"/>
      <c r="B33" s="224" t="s">
        <v>635</v>
      </c>
      <c r="C33" s="239" t="s">
        <v>181</v>
      </c>
    </row>
    <row r="34" spans="1:5">
      <c r="A34" s="257" t="s">
        <v>111</v>
      </c>
      <c r="B34" s="35">
        <f>IF(ISERROR(aantalCultuurgronden/'ha_N2O bodem landbouw'!B5),0,aantalCultuurgronden/'ha_N2O bodem landbouw'!B5)</f>
        <v>4.5580340174838467E-3</v>
      </c>
      <c r="C34" s="897" t="s">
        <v>670</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2.7385993524489227E-4</v>
      </c>
      <c r="C5" s="438" t="s">
        <v>210</v>
      </c>
      <c r="D5" s="423">
        <f>SUM(D6:D11)</f>
        <v>5.2970230991186544E-4</v>
      </c>
      <c r="E5" s="423">
        <f>SUM(E6:E11)</f>
        <v>5.4369213742195242E-3</v>
      </c>
      <c r="F5" s="436" t="s">
        <v>210</v>
      </c>
      <c r="G5" s="423">
        <f>SUM(G6:G11)</f>
        <v>1.6644752012489163</v>
      </c>
      <c r="H5" s="423">
        <f>SUM(H6:H11)</f>
        <v>0.32620738913226982</v>
      </c>
      <c r="I5" s="438" t="s">
        <v>210</v>
      </c>
      <c r="J5" s="438" t="s">
        <v>210</v>
      </c>
      <c r="K5" s="438" t="s">
        <v>210</v>
      </c>
      <c r="L5" s="438" t="s">
        <v>210</v>
      </c>
      <c r="M5" s="423">
        <f>SUM(M6:M11)</f>
        <v>0.10645179118512965</v>
      </c>
      <c r="N5" s="438" t="s">
        <v>210</v>
      </c>
      <c r="O5" s="438" t="s">
        <v>210</v>
      </c>
      <c r="P5" s="439" t="s">
        <v>210</v>
      </c>
    </row>
    <row r="6" spans="1:18">
      <c r="A6" s="261" t="s">
        <v>713</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1.4645827282237523E-4</v>
      </c>
      <c r="C6" s="424"/>
      <c r="D6" s="866">
        <f>vkm_GW_PW*SUMIFS(TableVerdeelsleutelVkm[CNG],TableVerdeelsleutelVkm[Voertuigtype],"Lichte voertuigen")*SUMIFS(TableECFTransport[EnergieConsumptieFactor (PJ per km)],TableECFTransport[Index],CONCATENATE($A6,"_CNG_CNG"))</f>
        <v>2.5556741411823965E-4</v>
      </c>
      <c r="E6" s="866">
        <f>vkm_GW_PW*SUMIFS(TableVerdeelsleutelVkm[LPG],TableVerdeelsleutelVkm[Voertuigtype],"Lichte voertuigen")*SUMIFS(TableECFTransport[EnergieConsumptieFactor (PJ per km)],TableECFTransport[Index],CONCATENATE($A6,"_LPG_LPG"))</f>
        <v>2.4752960355794692E-3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0.58173716061426983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0.15650801164987493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3.8501407224597196E-2</v>
      </c>
      <c r="N6" s="424"/>
      <c r="O6" s="424"/>
      <c r="P6" s="425"/>
    </row>
    <row r="7" spans="1:18">
      <c r="A7" s="261" t="s">
        <v>714</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0.24048191440615857</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4.6637087176781813E-6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1.3942597725740481E-2</v>
      </c>
      <c r="N7" s="424"/>
      <c r="O7" s="424"/>
      <c r="P7" s="425"/>
      <c r="R7" s="863"/>
    </row>
    <row r="8" spans="1:18">
      <c r="A8" s="261" t="s">
        <v>715</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4.0150770331566297E-5</v>
      </c>
      <c r="C8" s="424"/>
      <c r="D8" s="426">
        <f>vkm_NGW_PW*SUMIFS(TableVerdeelsleutelVkm[CNG],TableVerdeelsleutelVkm[Voertuigtype],"Lichte voertuigen")*SUMIFS(TableECFTransport[EnergieConsumptieFactor (PJ per km)],TableECFTransport[Index],CONCATENATE($A8,"_CNG_CNG"))</f>
        <v>1.1997257275669843E-4</v>
      </c>
      <c r="E8" s="426">
        <f>vkm_NGW_PW*SUMIFS(TableVerdeelsleutelVkm[LPG],TableVerdeelsleutelVkm[Voertuigtype],"Lichte voertuigen")*SUMIFS(TableECFTransport[EnergieConsumptieFactor (PJ per km)],TableECFTransport[Index],CONCATENATE($A8,"_LPG_LPG"))</f>
        <v>1.0996573273049769E-3</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0.24258638997677462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7.093890605038955E-2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1.6228308282372615E-2</v>
      </c>
      <c r="N8" s="424"/>
      <c r="O8" s="424"/>
      <c r="P8" s="425"/>
      <c r="R8" s="863"/>
    </row>
    <row r="9" spans="1:18">
      <c r="A9" s="261" t="s">
        <v>716</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3.1383659150765694E-3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7.5389154511656939E-8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1.8195580376172626E-4</v>
      </c>
      <c r="N9" s="424"/>
      <c r="O9" s="424"/>
      <c r="P9" s="425"/>
      <c r="R9" s="863"/>
    </row>
    <row r="10" spans="1:18">
      <c r="A10" s="261" t="s">
        <v>717</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8.7250892090950745E-5</v>
      </c>
      <c r="C10" s="424"/>
      <c r="D10" s="426">
        <f>vkm_SW_PW*SUMIFS(TableVerdeelsleutelVkm[CNG],TableVerdeelsleutelVkm[Voertuigtype],"Lichte voertuigen")*SUMIFS(TableECFTransport[EnergieConsumptieFactor (PJ per km)],TableECFTransport[Index],CONCATENATE($A10,"_CNG_CNG"))</f>
        <v>1.5416232303692732E-4</v>
      </c>
      <c r="E10" s="426">
        <f>vkm_SW_PW*SUMIFS(TableVerdeelsleutelVkm[LPG],TableVerdeelsleutelVkm[Voertuigtype],"Lichte voertuigen")*SUMIFS(TableECFTransport[EnergieConsumptieFactor (PJ per km)],TableECFTransport[Index],CONCATENATE($A10,"_LPG_LPG"))</f>
        <v>1.8619680113350779E-3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0.39347309704757272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9.8751548153445709E-2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2.5824655018184157E-2</v>
      </c>
      <c r="N10" s="424"/>
      <c r="O10" s="424"/>
      <c r="P10" s="425"/>
      <c r="R10" s="863"/>
    </row>
    <row r="11" spans="1:18">
      <c r="A11" s="4" t="s">
        <v>718</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0.20305827328906409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4.1841806874441862E-6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1.1772867130473489E-2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76.072204234692293</v>
      </c>
      <c r="C14" s="21"/>
      <c r="D14" s="21">
        <f t="shared" ref="D14:M14" si="0">((D5)*10^9/3600)+D12</f>
        <v>147.13953053107372</v>
      </c>
      <c r="E14" s="21">
        <f t="shared" si="0"/>
        <v>1510.2559372832013</v>
      </c>
      <c r="F14" s="21"/>
      <c r="G14" s="21">
        <f t="shared" si="0"/>
        <v>462354.22256914346</v>
      </c>
      <c r="H14" s="21">
        <f t="shared" si="0"/>
        <v>90613.163647852722</v>
      </c>
      <c r="I14" s="21"/>
      <c r="J14" s="21"/>
      <c r="K14" s="21"/>
      <c r="L14" s="21"/>
      <c r="M14" s="21">
        <f t="shared" si="0"/>
        <v>29569.941995869351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0.19924846922864553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15.157270244611325</v>
      </c>
      <c r="C18" s="23"/>
      <c r="D18" s="23">
        <f t="shared" ref="D18:M18" si="1">D14*D16</f>
        <v>29.722185167276894</v>
      </c>
      <c r="E18" s="23">
        <f t="shared" si="1"/>
        <v>342.82809776328673</v>
      </c>
      <c r="F18" s="23"/>
      <c r="G18" s="23">
        <f t="shared" si="1"/>
        <v>123448.57742596131</v>
      </c>
      <c r="H18" s="23">
        <f t="shared" si="1"/>
        <v>22562.677748315327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719</v>
      </c>
      <c r="D23" s="900" t="s">
        <v>720</v>
      </c>
      <c r="E23" s="900" t="s">
        <v>721</v>
      </c>
      <c r="F23" s="900" t="s">
        <v>665</v>
      </c>
      <c r="G23" s="900" t="s">
        <v>722</v>
      </c>
      <c r="H23" s="900" t="s">
        <v>723</v>
      </c>
      <c r="I23" s="900" t="s">
        <v>118</v>
      </c>
      <c r="J23" s="900" t="s">
        <v>724</v>
      </c>
      <c r="K23" s="900" t="s">
        <v>725</v>
      </c>
      <c r="L23" s="901" t="s">
        <v>726</v>
      </c>
      <c r="M23" s="129" t="s">
        <v>181</v>
      </c>
      <c r="N23" s="268" t="s">
        <v>315</v>
      </c>
    </row>
    <row r="24" spans="1:18">
      <c r="A24" s="32" t="s">
        <v>711</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894</v>
      </c>
      <c r="N24" s="865">
        <f>SUM(B24:K24)</f>
        <v>1.000479189</v>
      </c>
      <c r="O24" s="863" t="s">
        <v>666</v>
      </c>
    </row>
    <row r="25" spans="1:18">
      <c r="A25" s="32" t="s">
        <v>712</v>
      </c>
      <c r="B25" s="1055"/>
      <c r="C25" s="1054">
        <v>0.99997128800000001</v>
      </c>
      <c r="D25" s="1055"/>
      <c r="E25" s="1055"/>
      <c r="F25" s="1054"/>
      <c r="G25" s="1055"/>
      <c r="H25" s="1055"/>
      <c r="I25" s="1055"/>
      <c r="J25" s="1055">
        <v>2.87124E-5</v>
      </c>
      <c r="K25" s="1055"/>
      <c r="M25" s="1061" t="s">
        <v>894</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896</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6.14232866170598E-2</v>
      </c>
      <c r="H50" s="319">
        <f t="shared" si="2"/>
        <v>0</v>
      </c>
      <c r="I50" s="319">
        <f t="shared" si="2"/>
        <v>0</v>
      </c>
      <c r="J50" s="319">
        <f t="shared" si="2"/>
        <v>0</v>
      </c>
      <c r="K50" s="319">
        <f t="shared" si="2"/>
        <v>0</v>
      </c>
      <c r="L50" s="319">
        <f t="shared" si="2"/>
        <v>0</v>
      </c>
      <c r="M50" s="319">
        <f t="shared" si="2"/>
        <v>3.5107681084890732E-3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6.14232866170598E-2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3.5107681084890732E-3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17062.024060294389</v>
      </c>
      <c r="H54" s="21">
        <f t="shared" si="3"/>
        <v>0</v>
      </c>
      <c r="I54" s="21">
        <f t="shared" si="3"/>
        <v>0</v>
      </c>
      <c r="J54" s="21">
        <f t="shared" si="3"/>
        <v>0</v>
      </c>
      <c r="K54" s="21">
        <f t="shared" si="3"/>
        <v>0</v>
      </c>
      <c r="L54" s="21">
        <f t="shared" si="3"/>
        <v>0</v>
      </c>
      <c r="M54" s="21">
        <f t="shared" si="3"/>
        <v>975.21336346918702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0.19924846922864553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4555.5604240986022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570</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772</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571</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203508.51051252277</v>
      </c>
      <c r="D10" s="991">
        <f ca="1">tertiair!C16</f>
        <v>2866.8214285714284</v>
      </c>
      <c r="E10" s="991">
        <f ca="1">tertiair!D16</f>
        <v>188387.53694485713</v>
      </c>
      <c r="F10" s="991">
        <f>tertiair!E16</f>
        <v>1711.8999050893003</v>
      </c>
      <c r="G10" s="991">
        <f ca="1">tertiair!F16</f>
        <v>28141.458509433938</v>
      </c>
      <c r="H10" s="991">
        <f>tertiair!G16</f>
        <v>0</v>
      </c>
      <c r="I10" s="991">
        <f>tertiair!H16</f>
        <v>0</v>
      </c>
      <c r="J10" s="991">
        <f>tertiair!I16</f>
        <v>0</v>
      </c>
      <c r="K10" s="991">
        <f>tertiair!J16</f>
        <v>0</v>
      </c>
      <c r="L10" s="991">
        <f>tertiair!K16</f>
        <v>0</v>
      </c>
      <c r="M10" s="991">
        <f ca="1">tertiair!L16</f>
        <v>0</v>
      </c>
      <c r="N10" s="991">
        <f>tertiair!M16</f>
        <v>0</v>
      </c>
      <c r="O10" s="991">
        <f ca="1">tertiair!N16</f>
        <v>9198.6839059161957</v>
      </c>
      <c r="P10" s="991">
        <f>tertiair!O16</f>
        <v>9.3800000000000008</v>
      </c>
      <c r="Q10" s="992">
        <f>tertiair!P16</f>
        <v>152.53333333333333</v>
      </c>
      <c r="R10" s="675">
        <f ca="1">SUM(C10:Q10)</f>
        <v>433976.8245397241</v>
      </c>
      <c r="S10" s="67"/>
    </row>
    <row r="11" spans="1:19" s="448" customFormat="1">
      <c r="A11" s="784" t="s">
        <v>224</v>
      </c>
      <c r="B11" s="789"/>
      <c r="C11" s="991">
        <f>huishoudens!B8</f>
        <v>131976.58392528098</v>
      </c>
      <c r="D11" s="991">
        <f>huishoudens!C8</f>
        <v>0</v>
      </c>
      <c r="E11" s="991">
        <f>huishoudens!D8</f>
        <v>317957.09534599999</v>
      </c>
      <c r="F11" s="991">
        <f>huishoudens!E8</f>
        <v>43227.29775037049</v>
      </c>
      <c r="G11" s="991">
        <f>huishoudens!F8</f>
        <v>79888.572502442854</v>
      </c>
      <c r="H11" s="991">
        <f>huishoudens!G8</f>
        <v>0</v>
      </c>
      <c r="I11" s="991">
        <f>huishoudens!H8</f>
        <v>0</v>
      </c>
      <c r="J11" s="991">
        <f>huishoudens!I8</f>
        <v>0</v>
      </c>
      <c r="K11" s="991">
        <f>huishoudens!J8</f>
        <v>0</v>
      </c>
      <c r="L11" s="991">
        <f>huishoudens!K8</f>
        <v>0</v>
      </c>
      <c r="M11" s="991">
        <f>huishoudens!L8</f>
        <v>0</v>
      </c>
      <c r="N11" s="991">
        <f>huishoudens!M8</f>
        <v>0</v>
      </c>
      <c r="O11" s="991">
        <f>huishoudens!N8</f>
        <v>30034.535343223142</v>
      </c>
      <c r="P11" s="991">
        <f>huishoudens!O8</f>
        <v>861.39666666666676</v>
      </c>
      <c r="Q11" s="992">
        <f>huishoudens!P8</f>
        <v>2307.0666666666666</v>
      </c>
      <c r="R11" s="675">
        <f>SUM(C11:Q11)</f>
        <v>606252.54820065072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654</v>
      </c>
      <c r="B13" s="793" t="s">
        <v>652</v>
      </c>
      <c r="C13" s="991">
        <f>industrie!B18</f>
        <v>63813.931999999993</v>
      </c>
      <c r="D13" s="991">
        <f>industrie!C18</f>
        <v>321.42857142857144</v>
      </c>
      <c r="E13" s="991">
        <f>industrie!D18</f>
        <v>70353.06495314285</v>
      </c>
      <c r="F13" s="991">
        <f>industrie!E18</f>
        <v>8921.1952156610514</v>
      </c>
      <c r="G13" s="991">
        <f>industrie!F18</f>
        <v>47296.872827876585</v>
      </c>
      <c r="H13" s="991">
        <f>industrie!G18</f>
        <v>0</v>
      </c>
      <c r="I13" s="991">
        <f>industrie!H18</f>
        <v>0</v>
      </c>
      <c r="J13" s="991">
        <f>industrie!I18</f>
        <v>0</v>
      </c>
      <c r="K13" s="991">
        <f>industrie!J18</f>
        <v>280.43164003758278</v>
      </c>
      <c r="L13" s="991">
        <f>industrie!K18</f>
        <v>0</v>
      </c>
      <c r="M13" s="991">
        <f>industrie!L18</f>
        <v>0</v>
      </c>
      <c r="N13" s="991">
        <f>industrie!M18</f>
        <v>0</v>
      </c>
      <c r="O13" s="991">
        <f>industrie!N18</f>
        <v>8738.670508647614</v>
      </c>
      <c r="P13" s="991">
        <f>industrie!O18</f>
        <v>0</v>
      </c>
      <c r="Q13" s="992">
        <f>industrie!P18</f>
        <v>0</v>
      </c>
      <c r="R13" s="675">
        <f>SUM(C13:Q13)</f>
        <v>199725.59571679425</v>
      </c>
      <c r="S13" s="67"/>
    </row>
    <row r="14" spans="1:19" s="448" customFormat="1">
      <c r="A14" s="784"/>
      <c r="B14" s="793" t="s">
        <v>653</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849</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399299.0264378037</v>
      </c>
      <c r="D16" s="707">
        <f t="shared" ref="D16:R16" ca="1" si="0">SUM(D9:D15)</f>
        <v>3188.25</v>
      </c>
      <c r="E16" s="707">
        <f t="shared" ca="1" si="0"/>
        <v>576697.69724400004</v>
      </c>
      <c r="F16" s="707">
        <f t="shared" si="0"/>
        <v>53860.392871120843</v>
      </c>
      <c r="G16" s="707">
        <f t="shared" ca="1" si="0"/>
        <v>155326.90383975339</v>
      </c>
      <c r="H16" s="707">
        <f t="shared" si="0"/>
        <v>0</v>
      </c>
      <c r="I16" s="707">
        <f t="shared" si="0"/>
        <v>0</v>
      </c>
      <c r="J16" s="707">
        <f t="shared" si="0"/>
        <v>0</v>
      </c>
      <c r="K16" s="707">
        <f t="shared" si="0"/>
        <v>280.43164003758278</v>
      </c>
      <c r="L16" s="707">
        <f t="shared" si="0"/>
        <v>0</v>
      </c>
      <c r="M16" s="707">
        <f t="shared" ca="1" si="0"/>
        <v>0</v>
      </c>
      <c r="N16" s="707">
        <f t="shared" si="0"/>
        <v>0</v>
      </c>
      <c r="O16" s="707">
        <f t="shared" ca="1" si="0"/>
        <v>47971.88975778695</v>
      </c>
      <c r="P16" s="707">
        <f t="shared" si="0"/>
        <v>870.77666666666676</v>
      </c>
      <c r="Q16" s="707">
        <f t="shared" si="0"/>
        <v>2459.6</v>
      </c>
      <c r="R16" s="707">
        <f t="shared" ca="1" si="0"/>
        <v>1239954.9684571691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17062.024060294389</v>
      </c>
      <c r="I19" s="991">
        <f>transport!H54</f>
        <v>0</v>
      </c>
      <c r="J19" s="991">
        <f>transport!I54</f>
        <v>0</v>
      </c>
      <c r="K19" s="991">
        <f>transport!J54</f>
        <v>0</v>
      </c>
      <c r="L19" s="991">
        <f>transport!K54</f>
        <v>0</v>
      </c>
      <c r="M19" s="991">
        <f>transport!L54</f>
        <v>0</v>
      </c>
      <c r="N19" s="991">
        <f>transport!M54</f>
        <v>975.21336346918702</v>
      </c>
      <c r="O19" s="991">
        <f>transport!N54</f>
        <v>0</v>
      </c>
      <c r="P19" s="991">
        <f>transport!O54</f>
        <v>0</v>
      </c>
      <c r="Q19" s="992">
        <f>transport!P54</f>
        <v>0</v>
      </c>
      <c r="R19" s="675">
        <f>SUM(C19:Q19)</f>
        <v>18037.237423763574</v>
      </c>
      <c r="S19" s="67"/>
    </row>
    <row r="20" spans="1:19" s="448" customFormat="1">
      <c r="A20" s="784" t="s">
        <v>306</v>
      </c>
      <c r="B20" s="789"/>
      <c r="C20" s="991">
        <f>transport!B14</f>
        <v>76.072204234692293</v>
      </c>
      <c r="D20" s="991">
        <f>transport!C14</f>
        <v>0</v>
      </c>
      <c r="E20" s="991">
        <f>transport!D14</f>
        <v>147.13953053107372</v>
      </c>
      <c r="F20" s="991">
        <f>transport!E14</f>
        <v>1510.2559372832013</v>
      </c>
      <c r="G20" s="991">
        <f>transport!F14</f>
        <v>0</v>
      </c>
      <c r="H20" s="991">
        <f>transport!G14</f>
        <v>462354.22256914346</v>
      </c>
      <c r="I20" s="991">
        <f>transport!H14</f>
        <v>90613.163647852722</v>
      </c>
      <c r="J20" s="991">
        <f>transport!I14</f>
        <v>0</v>
      </c>
      <c r="K20" s="991">
        <f>transport!J14</f>
        <v>0</v>
      </c>
      <c r="L20" s="991">
        <f>transport!K14</f>
        <v>0</v>
      </c>
      <c r="M20" s="991">
        <f>transport!L14</f>
        <v>0</v>
      </c>
      <c r="N20" s="991">
        <f>transport!M14</f>
        <v>29569.941995869351</v>
      </c>
      <c r="O20" s="991">
        <f>transport!N14</f>
        <v>0</v>
      </c>
      <c r="P20" s="991">
        <f>transport!O14</f>
        <v>0</v>
      </c>
      <c r="Q20" s="992">
        <f>transport!P14</f>
        <v>0</v>
      </c>
      <c r="R20" s="675">
        <f>SUM(C20:Q20)</f>
        <v>584270.79588491446</v>
      </c>
      <c r="S20" s="67"/>
    </row>
    <row r="21" spans="1:19" s="448" customFormat="1" ht="15" thickBot="1">
      <c r="A21" s="806" t="s">
        <v>850</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76.072204234692293</v>
      </c>
      <c r="D22" s="787">
        <f t="shared" ref="D22:R22" si="1">SUM(D18:D21)</f>
        <v>0</v>
      </c>
      <c r="E22" s="787">
        <f t="shared" si="1"/>
        <v>147.13953053107372</v>
      </c>
      <c r="F22" s="787">
        <f t="shared" si="1"/>
        <v>1510.2559372832013</v>
      </c>
      <c r="G22" s="787">
        <f t="shared" si="1"/>
        <v>0</v>
      </c>
      <c r="H22" s="787">
        <f t="shared" si="1"/>
        <v>479416.24662943784</v>
      </c>
      <c r="I22" s="787">
        <f t="shared" si="1"/>
        <v>90613.163647852722</v>
      </c>
      <c r="J22" s="787">
        <f t="shared" si="1"/>
        <v>0</v>
      </c>
      <c r="K22" s="787">
        <f t="shared" si="1"/>
        <v>0</v>
      </c>
      <c r="L22" s="787">
        <f t="shared" si="1"/>
        <v>0</v>
      </c>
      <c r="M22" s="787">
        <f t="shared" si="1"/>
        <v>0</v>
      </c>
      <c r="N22" s="787">
        <f t="shared" si="1"/>
        <v>30545.155359338536</v>
      </c>
      <c r="O22" s="787">
        <f t="shared" si="1"/>
        <v>0</v>
      </c>
      <c r="P22" s="787">
        <f t="shared" si="1"/>
        <v>0</v>
      </c>
      <c r="Q22" s="787">
        <f t="shared" si="1"/>
        <v>0</v>
      </c>
      <c r="R22" s="787">
        <f t="shared" si="1"/>
        <v>602308.03330867807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649</v>
      </c>
      <c r="B24" s="789"/>
      <c r="C24" s="991">
        <f>+landbouw!B8</f>
        <v>1979.6890000000001</v>
      </c>
      <c r="D24" s="991">
        <f>+landbouw!C8</f>
        <v>0</v>
      </c>
      <c r="E24" s="991">
        <f>+landbouw!D8</f>
        <v>2458.082594</v>
      </c>
      <c r="F24" s="991">
        <f>+landbouw!E8</f>
        <v>18.336708687972099</v>
      </c>
      <c r="G24" s="991">
        <f>+landbouw!F8</f>
        <v>5022.848123367482</v>
      </c>
      <c r="H24" s="991">
        <f>+landbouw!G8</f>
        <v>0</v>
      </c>
      <c r="I24" s="991">
        <f>+landbouw!H8</f>
        <v>0</v>
      </c>
      <c r="J24" s="991">
        <f>+landbouw!I8</f>
        <v>0</v>
      </c>
      <c r="K24" s="991">
        <f>+landbouw!J8</f>
        <v>303.50841709372173</v>
      </c>
      <c r="L24" s="991">
        <f>+landbouw!K8</f>
        <v>0</v>
      </c>
      <c r="M24" s="991">
        <f>+landbouw!L8</f>
        <v>0</v>
      </c>
      <c r="N24" s="991">
        <f>+landbouw!M8</f>
        <v>0</v>
      </c>
      <c r="O24" s="991">
        <f>+landbouw!N8</f>
        <v>0</v>
      </c>
      <c r="P24" s="991">
        <f>+landbouw!O8</f>
        <v>0</v>
      </c>
      <c r="Q24" s="992">
        <f>+landbouw!P8</f>
        <v>0</v>
      </c>
      <c r="R24" s="675">
        <f>SUM(C24:Q24)</f>
        <v>9782.4648431491769</v>
      </c>
      <c r="S24" s="67"/>
    </row>
    <row r="25" spans="1:19" s="448" customFormat="1" ht="15" thickBot="1">
      <c r="A25" s="806" t="s">
        <v>851</v>
      </c>
      <c r="B25" s="994"/>
      <c r="C25" s="995">
        <f>IF(Onbekend_ele_kWh="---",0,Onbekend_ele_kWh)/1000+IF(REST_rest_ele_kWh="---",0,REST_rest_ele_kWh)/1000</f>
        <v>5703.4170000000004</v>
      </c>
      <c r="D25" s="995"/>
      <c r="E25" s="995">
        <f>IF(onbekend_gas_kWh="---",0,onbekend_gas_kWh)/1000+IF(REST_rest_gas_kWh="---",0,REST_rest_gas_kWh)/1000</f>
        <v>18298.882000000001</v>
      </c>
      <c r="F25" s="995"/>
      <c r="G25" s="995"/>
      <c r="H25" s="995"/>
      <c r="I25" s="995"/>
      <c r="J25" s="995"/>
      <c r="K25" s="995"/>
      <c r="L25" s="995"/>
      <c r="M25" s="995"/>
      <c r="N25" s="995"/>
      <c r="O25" s="995"/>
      <c r="P25" s="995"/>
      <c r="Q25" s="996"/>
      <c r="R25" s="675">
        <f>SUM(C25:Q25)</f>
        <v>24002.299000000003</v>
      </c>
      <c r="S25" s="67"/>
    </row>
    <row r="26" spans="1:19" s="448" customFormat="1" ht="15.75" thickBot="1">
      <c r="A26" s="680" t="s">
        <v>852</v>
      </c>
      <c r="B26" s="792"/>
      <c r="C26" s="787">
        <f>SUM(C24:C25)</f>
        <v>7683.1060000000007</v>
      </c>
      <c r="D26" s="787">
        <f t="shared" ref="D26:R26" si="2">SUM(D24:D25)</f>
        <v>0</v>
      </c>
      <c r="E26" s="787">
        <f t="shared" si="2"/>
        <v>20756.964594000001</v>
      </c>
      <c r="F26" s="787">
        <f t="shared" si="2"/>
        <v>18.336708687972099</v>
      </c>
      <c r="G26" s="787">
        <f t="shared" si="2"/>
        <v>5022.848123367482</v>
      </c>
      <c r="H26" s="787">
        <f t="shared" si="2"/>
        <v>0</v>
      </c>
      <c r="I26" s="787">
        <f t="shared" si="2"/>
        <v>0</v>
      </c>
      <c r="J26" s="787">
        <f t="shared" si="2"/>
        <v>0</v>
      </c>
      <c r="K26" s="787">
        <f t="shared" si="2"/>
        <v>303.50841709372173</v>
      </c>
      <c r="L26" s="787">
        <f t="shared" si="2"/>
        <v>0</v>
      </c>
      <c r="M26" s="787">
        <f t="shared" si="2"/>
        <v>0</v>
      </c>
      <c r="N26" s="787">
        <f t="shared" si="2"/>
        <v>0</v>
      </c>
      <c r="O26" s="787">
        <f t="shared" si="2"/>
        <v>0</v>
      </c>
      <c r="P26" s="787">
        <f t="shared" si="2"/>
        <v>0</v>
      </c>
      <c r="Q26" s="787">
        <f t="shared" si="2"/>
        <v>0</v>
      </c>
      <c r="R26" s="787">
        <f t="shared" si="2"/>
        <v>33784.76384314918</v>
      </c>
      <c r="S26" s="67"/>
    </row>
    <row r="27" spans="1:19" s="448" customFormat="1" ht="17.25" thickTop="1" thickBot="1">
      <c r="A27" s="681" t="s">
        <v>115</v>
      </c>
      <c r="B27" s="780"/>
      <c r="C27" s="682">
        <f ca="1">C22+C16+C26</f>
        <v>407058.20464203844</v>
      </c>
      <c r="D27" s="682">
        <f t="shared" ref="D27:R27" ca="1" si="3">D22+D16+D26</f>
        <v>3188.25</v>
      </c>
      <c r="E27" s="682">
        <f t="shared" ca="1" si="3"/>
        <v>597601.80136853119</v>
      </c>
      <c r="F27" s="682">
        <f t="shared" si="3"/>
        <v>55388.98551709202</v>
      </c>
      <c r="G27" s="682">
        <f t="shared" ca="1" si="3"/>
        <v>160349.75196312086</v>
      </c>
      <c r="H27" s="682">
        <f t="shared" si="3"/>
        <v>479416.24662943784</v>
      </c>
      <c r="I27" s="682">
        <f t="shared" si="3"/>
        <v>90613.163647852722</v>
      </c>
      <c r="J27" s="682">
        <f t="shared" si="3"/>
        <v>0</v>
      </c>
      <c r="K27" s="682">
        <f t="shared" si="3"/>
        <v>583.94005713130446</v>
      </c>
      <c r="L27" s="682">
        <f t="shared" si="3"/>
        <v>0</v>
      </c>
      <c r="M27" s="682">
        <f t="shared" ca="1" si="3"/>
        <v>0</v>
      </c>
      <c r="N27" s="682">
        <f t="shared" si="3"/>
        <v>30545.155359338536</v>
      </c>
      <c r="O27" s="682">
        <f t="shared" ca="1" si="3"/>
        <v>47971.88975778695</v>
      </c>
      <c r="P27" s="682">
        <f t="shared" si="3"/>
        <v>870.77666666666676</v>
      </c>
      <c r="Q27" s="682">
        <f t="shared" si="3"/>
        <v>2459.6</v>
      </c>
      <c r="R27" s="682">
        <f t="shared" ca="1" si="3"/>
        <v>1876047.7656089964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40548.759194621882</v>
      </c>
      <c r="D40" s="991">
        <f ca="1">tertiair!C20</f>
        <v>681.29168067226897</v>
      </c>
      <c r="E40" s="991">
        <f ca="1">tertiair!D20</f>
        <v>38054.282462861142</v>
      </c>
      <c r="F40" s="991">
        <f>tertiair!E20</f>
        <v>388.6012784552712</v>
      </c>
      <c r="G40" s="991">
        <f ca="1">tertiair!F20</f>
        <v>7513.7694220188623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87186.704038629425</v>
      </c>
    </row>
    <row r="41" spans="1:18">
      <c r="A41" s="797" t="s">
        <v>224</v>
      </c>
      <c r="B41" s="804"/>
      <c r="C41" s="991">
        <f ca="1">huishoudens!B12</f>
        <v>26296.132321138102</v>
      </c>
      <c r="D41" s="991">
        <f ca="1">huishoudens!C12</f>
        <v>0</v>
      </c>
      <c r="E41" s="991">
        <f>huishoudens!D12</f>
        <v>64227.333259892002</v>
      </c>
      <c r="F41" s="991">
        <f>huishoudens!E12</f>
        <v>9812.5965893341017</v>
      </c>
      <c r="G41" s="991">
        <f>huishoudens!F12</f>
        <v>21330.248858152245</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121666.31102851646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655</v>
      </c>
      <c r="B43" s="812" t="s">
        <v>652</v>
      </c>
      <c r="C43" s="991">
        <f ca="1">industrie!B22</f>
        <v>12714.828266460878</v>
      </c>
      <c r="D43" s="991">
        <f ca="1">industrie!C22</f>
        <v>76.386554621848759</v>
      </c>
      <c r="E43" s="991">
        <f>industrie!D22</f>
        <v>14211.319120534856</v>
      </c>
      <c r="F43" s="991">
        <f>industrie!E22</f>
        <v>2025.1113139550587</v>
      </c>
      <c r="G43" s="991">
        <f>industrie!F22</f>
        <v>12628.265045043048</v>
      </c>
      <c r="H43" s="991">
        <f>industrie!G22</f>
        <v>0</v>
      </c>
      <c r="I43" s="991">
        <f>industrie!H22</f>
        <v>0</v>
      </c>
      <c r="J43" s="991">
        <f>industrie!I22</f>
        <v>0</v>
      </c>
      <c r="K43" s="991">
        <f>industrie!J22</f>
        <v>99.272800573304295</v>
      </c>
      <c r="L43" s="991">
        <f>industrie!K22</f>
        <v>0</v>
      </c>
      <c r="M43" s="991">
        <f>industrie!L22</f>
        <v>0</v>
      </c>
      <c r="N43" s="991">
        <f>industrie!M22</f>
        <v>0</v>
      </c>
      <c r="O43" s="991">
        <f>industrie!N22</f>
        <v>0</v>
      </c>
      <c r="P43" s="991">
        <f>industrie!O22</f>
        <v>0</v>
      </c>
      <c r="Q43" s="749">
        <f>industrie!P22</f>
        <v>0</v>
      </c>
      <c r="R43" s="824">
        <f t="shared" ca="1" si="4"/>
        <v>41755.183101189003</v>
      </c>
    </row>
    <row r="44" spans="1:18">
      <c r="A44" s="797"/>
      <c r="B44" s="804" t="s">
        <v>653</v>
      </c>
      <c r="C44" s="991"/>
      <c r="D44" s="991"/>
      <c r="E44" s="991"/>
      <c r="F44" s="991"/>
      <c r="G44" s="991"/>
      <c r="H44" s="991"/>
      <c r="I44" s="991"/>
      <c r="J44" s="991"/>
      <c r="K44" s="991"/>
      <c r="L44" s="991"/>
      <c r="M44" s="991"/>
      <c r="N44" s="991"/>
      <c r="O44" s="991"/>
      <c r="P44" s="991"/>
      <c r="Q44" s="749"/>
      <c r="R44" s="825">
        <f t="shared" si="4"/>
        <v>0</v>
      </c>
    </row>
    <row r="45" spans="1:18" ht="15" thickBot="1">
      <c r="A45" s="993" t="s">
        <v>849</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79559.719782220869</v>
      </c>
      <c r="D46" s="707">
        <f t="shared" ref="D46:Q46" ca="1" si="5">SUM(D39:D45)</f>
        <v>757.67823529411771</v>
      </c>
      <c r="E46" s="707">
        <f t="shared" ca="1" si="5"/>
        <v>116492.93484328799</v>
      </c>
      <c r="F46" s="707">
        <f t="shared" si="5"/>
        <v>12226.309181744431</v>
      </c>
      <c r="G46" s="707">
        <f t="shared" ca="1" si="5"/>
        <v>41472.283325214157</v>
      </c>
      <c r="H46" s="707">
        <f t="shared" si="5"/>
        <v>0</v>
      </c>
      <c r="I46" s="707">
        <f t="shared" si="5"/>
        <v>0</v>
      </c>
      <c r="J46" s="707">
        <f t="shared" si="5"/>
        <v>0</v>
      </c>
      <c r="K46" s="707">
        <f t="shared" si="5"/>
        <v>99.272800573304295</v>
      </c>
      <c r="L46" s="707">
        <f t="shared" si="5"/>
        <v>0</v>
      </c>
      <c r="M46" s="707">
        <f t="shared" ca="1" si="5"/>
        <v>0</v>
      </c>
      <c r="N46" s="707">
        <f t="shared" si="5"/>
        <v>0</v>
      </c>
      <c r="O46" s="707">
        <f t="shared" ca="1" si="5"/>
        <v>0</v>
      </c>
      <c r="P46" s="707">
        <f t="shared" si="5"/>
        <v>0</v>
      </c>
      <c r="Q46" s="707">
        <f t="shared" si="5"/>
        <v>0</v>
      </c>
      <c r="R46" s="707">
        <f ca="1">SUM(R39:R45)</f>
        <v>250608.19816833487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4555.5604240986022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4555.5604240986022</v>
      </c>
    </row>
    <row r="50" spans="1:18">
      <c r="A50" s="800" t="s">
        <v>306</v>
      </c>
      <c r="B50" s="810"/>
      <c r="C50" s="678">
        <f ca="1">transport!B18</f>
        <v>15.157270244611325</v>
      </c>
      <c r="D50" s="678">
        <f>transport!C18</f>
        <v>0</v>
      </c>
      <c r="E50" s="678">
        <f>transport!D18</f>
        <v>29.722185167276894</v>
      </c>
      <c r="F50" s="678">
        <f>transport!E18</f>
        <v>342.82809776328673</v>
      </c>
      <c r="G50" s="678">
        <f>transport!F18</f>
        <v>0</v>
      </c>
      <c r="H50" s="678">
        <f>transport!G18</f>
        <v>123448.57742596131</v>
      </c>
      <c r="I50" s="678">
        <f>transport!H18</f>
        <v>22562.677748315327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146398.96272745181</v>
      </c>
    </row>
    <row r="51" spans="1:18" ht="15" thickBot="1">
      <c r="A51" s="797" t="s">
        <v>850</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15.157270244611325</v>
      </c>
      <c r="D52" s="707">
        <f t="shared" ref="D52:Q52" ca="1" si="6">SUM(D48:D51)</f>
        <v>0</v>
      </c>
      <c r="E52" s="707">
        <f t="shared" si="6"/>
        <v>29.722185167276894</v>
      </c>
      <c r="F52" s="707">
        <f t="shared" si="6"/>
        <v>342.82809776328673</v>
      </c>
      <c r="G52" s="707">
        <f t="shared" si="6"/>
        <v>0</v>
      </c>
      <c r="H52" s="707">
        <f t="shared" si="6"/>
        <v>128004.13785005991</v>
      </c>
      <c r="I52" s="707">
        <f t="shared" si="6"/>
        <v>22562.677748315327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150954.52315155041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649</v>
      </c>
      <c r="B54" s="810"/>
      <c r="C54" s="678">
        <f ca="1">+landbouw!B12</f>
        <v>394.45000279878803</v>
      </c>
      <c r="D54" s="678">
        <f ca="1">+landbouw!C12</f>
        <v>0</v>
      </c>
      <c r="E54" s="678">
        <f>+landbouw!D12</f>
        <v>496.53268398800003</v>
      </c>
      <c r="F54" s="678">
        <f>+landbouw!E12</f>
        <v>4.1624328721696662</v>
      </c>
      <c r="G54" s="678">
        <f>+landbouw!F12</f>
        <v>1341.1004489391178</v>
      </c>
      <c r="H54" s="678">
        <f>+landbouw!G12</f>
        <v>0</v>
      </c>
      <c r="I54" s="678">
        <f>+landbouw!H12</f>
        <v>0</v>
      </c>
      <c r="J54" s="678">
        <f>+landbouw!I12</f>
        <v>0</v>
      </c>
      <c r="K54" s="678">
        <f>+landbouw!J12</f>
        <v>107.44197965117749</v>
      </c>
      <c r="L54" s="678">
        <f>+landbouw!K12</f>
        <v>0</v>
      </c>
      <c r="M54" s="678">
        <f>+landbouw!L12</f>
        <v>0</v>
      </c>
      <c r="N54" s="678">
        <f>+landbouw!M12</f>
        <v>0</v>
      </c>
      <c r="O54" s="678">
        <f>+landbouw!N12</f>
        <v>0</v>
      </c>
      <c r="P54" s="678">
        <f>+landbouw!O12</f>
        <v>0</v>
      </c>
      <c r="Q54" s="679">
        <f>+landbouw!P12</f>
        <v>0</v>
      </c>
      <c r="R54" s="706">
        <f ca="1">SUM(C54:Q54)</f>
        <v>2343.6875482492528</v>
      </c>
    </row>
    <row r="55" spans="1:18" ht="15" thickBot="1">
      <c r="A55" s="800" t="s">
        <v>851</v>
      </c>
      <c r="B55" s="810"/>
      <c r="C55" s="678">
        <f ca="1">C25*'EF ele_warmte'!B12</f>
        <v>1136.3971066226338</v>
      </c>
      <c r="D55" s="678"/>
      <c r="E55" s="678">
        <f>E25*EF_CO2_aardgas</f>
        <v>3696.3741640000007</v>
      </c>
      <c r="F55" s="678"/>
      <c r="G55" s="678"/>
      <c r="H55" s="678"/>
      <c r="I55" s="678"/>
      <c r="J55" s="678"/>
      <c r="K55" s="678"/>
      <c r="L55" s="678"/>
      <c r="M55" s="678"/>
      <c r="N55" s="678"/>
      <c r="O55" s="678"/>
      <c r="P55" s="678"/>
      <c r="Q55" s="679"/>
      <c r="R55" s="706">
        <f ca="1">SUM(C55:Q55)</f>
        <v>4832.7712706226348</v>
      </c>
    </row>
    <row r="56" spans="1:18" ht="15.75" thickBot="1">
      <c r="A56" s="798" t="s">
        <v>852</v>
      </c>
      <c r="B56" s="811"/>
      <c r="C56" s="707">
        <f ca="1">SUM(C54:C55)</f>
        <v>1530.8471094214219</v>
      </c>
      <c r="D56" s="707">
        <f t="shared" ref="D56:Q56" ca="1" si="7">SUM(D54:D55)</f>
        <v>0</v>
      </c>
      <c r="E56" s="707">
        <f t="shared" si="7"/>
        <v>4192.9068479880007</v>
      </c>
      <c r="F56" s="707">
        <f t="shared" si="7"/>
        <v>4.1624328721696662</v>
      </c>
      <c r="G56" s="707">
        <f t="shared" si="7"/>
        <v>1341.1004489391178</v>
      </c>
      <c r="H56" s="707">
        <f t="shared" si="7"/>
        <v>0</v>
      </c>
      <c r="I56" s="707">
        <f t="shared" si="7"/>
        <v>0</v>
      </c>
      <c r="J56" s="707">
        <f t="shared" si="7"/>
        <v>0</v>
      </c>
      <c r="K56" s="707">
        <f t="shared" si="7"/>
        <v>107.44197965117749</v>
      </c>
      <c r="L56" s="707">
        <f t="shared" si="7"/>
        <v>0</v>
      </c>
      <c r="M56" s="707">
        <f t="shared" si="7"/>
        <v>0</v>
      </c>
      <c r="N56" s="707">
        <f t="shared" si="7"/>
        <v>0</v>
      </c>
      <c r="O56" s="707">
        <f t="shared" si="7"/>
        <v>0</v>
      </c>
      <c r="P56" s="707">
        <f t="shared" si="7"/>
        <v>0</v>
      </c>
      <c r="Q56" s="708">
        <f t="shared" si="7"/>
        <v>0</v>
      </c>
      <c r="R56" s="709">
        <f ca="1">SUM(R54:R55)</f>
        <v>7176.4588188718881</v>
      </c>
    </row>
    <row r="57" spans="1:18" ht="15.75">
      <c r="A57" s="779" t="s">
        <v>650</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81105.724161886901</v>
      </c>
      <c r="D61" s="715">
        <f t="shared" ref="D61:Q61" ca="1" si="8">D46+D52+D56</f>
        <v>757.67823529411771</v>
      </c>
      <c r="E61" s="715">
        <f t="shared" ca="1" si="8"/>
        <v>120715.56387644328</v>
      </c>
      <c r="F61" s="715">
        <f t="shared" si="8"/>
        <v>12573.299712379889</v>
      </c>
      <c r="G61" s="715">
        <f t="shared" ca="1" si="8"/>
        <v>42813.383774153277</v>
      </c>
      <c r="H61" s="715">
        <f t="shared" si="8"/>
        <v>128004.13785005991</v>
      </c>
      <c r="I61" s="715">
        <f t="shared" si="8"/>
        <v>22562.677748315327</v>
      </c>
      <c r="J61" s="715">
        <f t="shared" si="8"/>
        <v>0</v>
      </c>
      <c r="K61" s="715">
        <f t="shared" si="8"/>
        <v>206.71478022448179</v>
      </c>
      <c r="L61" s="715">
        <f t="shared" si="8"/>
        <v>0</v>
      </c>
      <c r="M61" s="715">
        <f t="shared" ca="1" si="8"/>
        <v>0</v>
      </c>
      <c r="N61" s="715">
        <f t="shared" si="8"/>
        <v>0</v>
      </c>
      <c r="O61" s="715">
        <f t="shared" ca="1" si="8"/>
        <v>0</v>
      </c>
      <c r="P61" s="715">
        <f t="shared" si="8"/>
        <v>0</v>
      </c>
      <c r="Q61" s="715">
        <f t="shared" si="8"/>
        <v>0</v>
      </c>
      <c r="R61" s="715">
        <f ca="1">R46+R52+R56</f>
        <v>408739.18013875716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0.19924846922864556</v>
      </c>
      <c r="D63" s="756">
        <f t="shared" ca="1" si="9"/>
        <v>0.23764705882352943</v>
      </c>
      <c r="E63" s="1002">
        <f t="shared" ca="1" si="9"/>
        <v>0.20199999999999996</v>
      </c>
      <c r="F63" s="756">
        <f t="shared" si="9"/>
        <v>0.22700000000000001</v>
      </c>
      <c r="G63" s="756">
        <f t="shared" ca="1" si="9"/>
        <v>0.26700000000000007</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658</v>
      </c>
      <c r="Q69" s="1126" t="s">
        <v>657</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656</v>
      </c>
      <c r="C71" s="979" t="s">
        <v>853</v>
      </c>
      <c r="D71" s="1005" t="s">
        <v>198</v>
      </c>
      <c r="E71" s="1006" t="s">
        <v>199</v>
      </c>
      <c r="F71" s="974" t="s">
        <v>200</v>
      </c>
      <c r="G71" s="971" t="s">
        <v>202</v>
      </c>
      <c r="H71" s="1007" t="s">
        <v>203</v>
      </c>
      <c r="I71" s="975"/>
      <c r="J71" s="975"/>
      <c r="K71" s="975"/>
      <c r="L71" s="975"/>
      <c r="M71" s="972"/>
      <c r="N71" s="975"/>
      <c r="O71" s="980"/>
      <c r="P71" s="1008"/>
      <c r="Q71" s="982" t="s">
        <v>659</v>
      </c>
      <c r="R71" s="980" t="s">
        <v>660</v>
      </c>
    </row>
    <row r="72" spans="1:18" ht="15.75" thickTop="1">
      <c r="A72" s="725" t="s">
        <v>248</v>
      </c>
      <c r="B72" s="818">
        <f>'lokale energieproductie'!B4</f>
        <v>15066.689400527019</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23927.899077796494</v>
      </c>
      <c r="C74" s="1150"/>
      <c r="D74" s="1150"/>
      <c r="E74" s="1132"/>
      <c r="F74" s="1132"/>
      <c r="G74" s="1144"/>
      <c r="H74" s="1147"/>
      <c r="I74" s="1150"/>
      <c r="J74" s="978"/>
      <c r="K74" s="1132"/>
      <c r="L74" s="1132"/>
      <c r="M74" s="1132"/>
      <c r="N74" s="1132"/>
      <c r="O74" s="1135"/>
      <c r="P74" s="827">
        <v>0</v>
      </c>
      <c r="Q74" s="833"/>
      <c r="R74" s="827">
        <v>0</v>
      </c>
    </row>
    <row r="75" spans="1:18" ht="15.75" thickBot="1">
      <c r="A75" s="726" t="s">
        <v>854</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2231.7750000000001</v>
      </c>
      <c r="D76" s="1012">
        <f>'lokale energieproductie'!C8</f>
        <v>2625.6176470588243</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530.37476470588251</v>
      </c>
      <c r="R76" s="827">
        <v>0</v>
      </c>
    </row>
    <row r="77" spans="1:18" ht="30.75" thickBot="1">
      <c r="A77" s="728" t="s">
        <v>352</v>
      </c>
      <c r="B77" s="725">
        <f>'lokale energieproductie'!B9*IFERROR(SUM(I77:O77)/SUM(D77:O77),0)</f>
        <v>1237.5</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3535.7142857142858</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40232.088478323509</v>
      </c>
      <c r="C78" s="730">
        <f>SUM(C72:C77)</f>
        <v>2231.7750000000001</v>
      </c>
      <c r="D78" s="731">
        <f t="shared" ref="D78:H78" si="10">SUM(D76:D77)</f>
        <v>2625.6176470588243</v>
      </c>
      <c r="E78" s="731">
        <f t="shared" si="10"/>
        <v>0</v>
      </c>
      <c r="F78" s="731">
        <f t="shared" si="10"/>
        <v>0</v>
      </c>
      <c r="G78" s="731">
        <f t="shared" si="10"/>
        <v>0</v>
      </c>
      <c r="H78" s="731">
        <f t="shared" si="10"/>
        <v>0</v>
      </c>
      <c r="I78" s="731">
        <f>SUM(I76:I77)</f>
        <v>0</v>
      </c>
      <c r="J78" s="731">
        <f>SUM(J76:J77)</f>
        <v>3535.7142857142858</v>
      </c>
      <c r="K78" s="731">
        <f t="shared" ref="K78:L78" si="11">SUM(K76:K77)</f>
        <v>0</v>
      </c>
      <c r="L78" s="731">
        <f t="shared" si="11"/>
        <v>0</v>
      </c>
      <c r="M78" s="731">
        <f>SUM(M76:M77)</f>
        <v>0</v>
      </c>
      <c r="N78" s="731">
        <f>SUM(N76:N77)</f>
        <v>0</v>
      </c>
      <c r="O78" s="835">
        <f>SUM(O76:O77)</f>
        <v>0</v>
      </c>
      <c r="P78" s="732">
        <v>0</v>
      </c>
      <c r="Q78" s="732">
        <f>SUM(Q76:Q77)</f>
        <v>530.37476470588251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658</v>
      </c>
      <c r="Q84" s="1119" t="s">
        <v>657</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656</v>
      </c>
      <c r="C86" s="819" t="s">
        <v>853</v>
      </c>
      <c r="D86" s="982" t="s">
        <v>198</v>
      </c>
      <c r="E86" s="975" t="s">
        <v>199</v>
      </c>
      <c r="F86" s="973" t="s">
        <v>200</v>
      </c>
      <c r="G86" s="975" t="s">
        <v>202</v>
      </c>
      <c r="H86" s="739" t="s">
        <v>203</v>
      </c>
      <c r="I86" s="1161"/>
      <c r="J86" s="1162"/>
      <c r="K86" s="1112"/>
      <c r="L86" s="1112"/>
      <c r="M86" s="1165"/>
      <c r="N86" s="1112"/>
      <c r="O86" s="1167"/>
      <c r="P86" s="1008"/>
      <c r="Q86" s="982" t="s">
        <v>659</v>
      </c>
      <c r="R86" s="980" t="s">
        <v>660</v>
      </c>
    </row>
    <row r="87" spans="1:19" ht="15.75" thickTop="1">
      <c r="A87" s="740" t="s">
        <v>251</v>
      </c>
      <c r="B87" s="741">
        <f>'lokale energieproductie'!B17*IFERROR(SUM(I87:O87)/SUM(D87:O87),0)</f>
        <v>0</v>
      </c>
      <c r="C87" s="741">
        <f>'lokale energieproductie'!B17*IFERROR(SUM(D87:H87)/SUM(D87:O87),0)</f>
        <v>3188.25</v>
      </c>
      <c r="D87" s="752">
        <f>'lokale energieproductie'!C17</f>
        <v>3750.882352941177</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757.67823529411783</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3188.25</v>
      </c>
      <c r="D90" s="730">
        <f t="shared" ref="D90:H90" si="12">SUM(D87:D89)</f>
        <v>3750.882352941177</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757.67823529411783</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7" zoomScale="65" zoomScaleNormal="65" workbookViewId="0">
      <selection activeCell="M32" sqref="M32"/>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857</v>
      </c>
      <c r="N2" s="1255" t="s">
        <v>858</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15066.689400527019</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23927.899077796494</v>
      </c>
      <c r="C6" s="1258"/>
      <c r="D6" s="1261"/>
      <c r="E6" s="1261"/>
      <c r="F6" s="1264"/>
      <c r="G6" s="1267"/>
      <c r="H6" s="1270"/>
      <c r="I6" s="1261"/>
      <c r="J6" s="1261"/>
      <c r="K6" s="1261"/>
      <c r="L6" s="1261"/>
      <c r="M6" s="1261"/>
      <c r="N6" s="1019"/>
      <c r="O6" s="543"/>
      <c r="P6" s="1253"/>
      <c r="Q6" s="1254"/>
      <c r="S6" s="986"/>
      <c r="T6" s="1274"/>
      <c r="U6" s="1274"/>
    </row>
    <row r="7" spans="1:21" s="534" customFormat="1">
      <c r="A7" s="542" t="s">
        <v>854</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N33</f>
        <v>2231.7750000000001</v>
      </c>
      <c r="C8" s="545">
        <f>B52</f>
        <v>2625.6176470588243</v>
      </c>
      <c r="D8" s="1022"/>
      <c r="E8" s="1022">
        <f>E52</f>
        <v>0</v>
      </c>
      <c r="F8" s="1023"/>
      <c r="G8" s="546"/>
      <c r="H8" s="1022">
        <f>I52</f>
        <v>0</v>
      </c>
      <c r="I8" s="1022">
        <f>G52+F52</f>
        <v>0</v>
      </c>
      <c r="J8" s="1022">
        <f>H52+D52+C52</f>
        <v>0</v>
      </c>
      <c r="K8" s="1022"/>
      <c r="L8" s="1022"/>
      <c r="M8" s="1022"/>
      <c r="N8" s="547"/>
      <c r="O8" s="548">
        <f>C8*$C$12+D8*$D$12+E8*$E$12+F8*$F$12+G8*$G$12+H8*$H$12+I8*$I$12+J8*$J$12</f>
        <v>530.37476470588251</v>
      </c>
      <c r="P8" s="1253"/>
      <c r="Q8" s="1254"/>
      <c r="S8" s="986"/>
      <c r="T8" s="1274"/>
      <c r="U8" s="1274"/>
    </row>
    <row r="9" spans="1:21" s="534" customFormat="1" ht="17.45" customHeight="1" thickBot="1">
      <c r="A9" s="549" t="s">
        <v>247</v>
      </c>
      <c r="B9" s="550">
        <f>N40+'Eigen informatie GS &amp; warmtenet'!B12</f>
        <v>1237.5</v>
      </c>
      <c r="C9" s="551">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42463.86347832351</v>
      </c>
      <c r="C10" s="558">
        <f t="shared" ref="C10:L10" si="0">SUM(C8:C9)</f>
        <v>2625.6176470588243</v>
      </c>
      <c r="D10" s="558">
        <f t="shared" si="0"/>
        <v>0</v>
      </c>
      <c r="E10" s="558">
        <f t="shared" si="0"/>
        <v>0</v>
      </c>
      <c r="F10" s="558">
        <f t="shared" si="0"/>
        <v>0</v>
      </c>
      <c r="G10" s="558">
        <f t="shared" si="0"/>
        <v>0</v>
      </c>
      <c r="H10" s="558">
        <f t="shared" si="0"/>
        <v>0</v>
      </c>
      <c r="I10" s="558">
        <f t="shared" si="0"/>
        <v>0</v>
      </c>
      <c r="J10" s="558">
        <f t="shared" si="0"/>
        <v>3535.7142857142858</v>
      </c>
      <c r="K10" s="558">
        <f t="shared" si="0"/>
        <v>0</v>
      </c>
      <c r="L10" s="558">
        <f t="shared" si="0"/>
        <v>0</v>
      </c>
      <c r="M10" s="1025"/>
      <c r="N10" s="1025"/>
      <c r="O10" s="559">
        <f>SUM(O4:O9)</f>
        <v>530.37476470588251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857</v>
      </c>
      <c r="N15" s="1255" t="s">
        <v>858</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O33</f>
        <v>3188.25</v>
      </c>
      <c r="C17" s="570">
        <f>B53</f>
        <v>3750.882352941177</v>
      </c>
      <c r="D17" s="571"/>
      <c r="E17" s="571">
        <f>E53</f>
        <v>0</v>
      </c>
      <c r="F17" s="1028"/>
      <c r="G17" s="572"/>
      <c r="H17" s="570">
        <f>I53</f>
        <v>0</v>
      </c>
      <c r="I17" s="571">
        <f>G53+F53</f>
        <v>0</v>
      </c>
      <c r="J17" s="571">
        <f>H53+D53+C53</f>
        <v>0</v>
      </c>
      <c r="K17" s="571"/>
      <c r="L17" s="571"/>
      <c r="M17" s="571"/>
      <c r="N17" s="1029"/>
      <c r="O17" s="573">
        <f>C17*$C$22+E17*$E$22+H17*$H$22+I17*$I$22+J17*$J$22+D17*$D$22+F17*$F$22+G17*$G$22+K17*$K$22+L17*$L$22</f>
        <v>757.67823529411783</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3188.25</v>
      </c>
      <c r="C20" s="557">
        <f>SUM(C17:C19)</f>
        <v>3750.882352941177</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757.67823529411783</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51">
      <c r="A28" s="580"/>
      <c r="B28" s="771">
        <v>71022</v>
      </c>
      <c r="C28" s="771">
        <v>3500</v>
      </c>
      <c r="D28" s="628" t="s">
        <v>913</v>
      </c>
      <c r="E28" s="627" t="s">
        <v>914</v>
      </c>
      <c r="F28" s="627" t="s">
        <v>915</v>
      </c>
      <c r="G28" s="627" t="s">
        <v>916</v>
      </c>
      <c r="H28" s="627" t="s">
        <v>917</v>
      </c>
      <c r="I28" s="627" t="s">
        <v>914</v>
      </c>
      <c r="J28" s="770">
        <v>39365</v>
      </c>
      <c r="K28" s="770">
        <v>39471</v>
      </c>
      <c r="L28" s="627" t="s">
        <v>918</v>
      </c>
      <c r="M28" s="627">
        <v>220</v>
      </c>
      <c r="N28" s="627">
        <v>990</v>
      </c>
      <c r="O28" s="627">
        <v>1414.2857142857142</v>
      </c>
      <c r="P28" s="627">
        <v>2828.5714285714289</v>
      </c>
      <c r="Q28" s="627">
        <v>0</v>
      </c>
      <c r="R28" s="627">
        <v>0</v>
      </c>
      <c r="S28" s="627">
        <v>0</v>
      </c>
      <c r="T28" s="627">
        <v>0</v>
      </c>
      <c r="U28" s="627">
        <v>0</v>
      </c>
      <c r="V28" s="627">
        <v>0</v>
      </c>
      <c r="W28" s="627">
        <v>0</v>
      </c>
      <c r="X28" s="627">
        <v>1500</v>
      </c>
      <c r="Y28" s="627" t="s">
        <v>50</v>
      </c>
      <c r="Z28" s="629" t="s">
        <v>155</v>
      </c>
    </row>
    <row r="29" spans="1:26" s="581" customFormat="1" ht="63.75">
      <c r="A29" s="580"/>
      <c r="B29" s="771">
        <v>71022</v>
      </c>
      <c r="C29" s="771">
        <v>3500</v>
      </c>
      <c r="D29" s="628" t="s">
        <v>919</v>
      </c>
      <c r="E29" s="627" t="s">
        <v>920</v>
      </c>
      <c r="F29" s="627" t="s">
        <v>921</v>
      </c>
      <c r="G29" s="627" t="s">
        <v>916</v>
      </c>
      <c r="H29" s="627" t="s">
        <v>917</v>
      </c>
      <c r="I29" s="627" t="s">
        <v>920</v>
      </c>
      <c r="J29" s="770">
        <v>39310</v>
      </c>
      <c r="K29" s="770">
        <v>39508</v>
      </c>
      <c r="L29" s="627" t="s">
        <v>918</v>
      </c>
      <c r="M29" s="627">
        <v>4.7</v>
      </c>
      <c r="N29" s="627">
        <v>21.150000000000002</v>
      </c>
      <c r="O29" s="627">
        <v>30.214285714285719</v>
      </c>
      <c r="P29" s="627">
        <v>60.428571428571438</v>
      </c>
      <c r="Q29" s="627">
        <v>0</v>
      </c>
      <c r="R29" s="627">
        <v>0</v>
      </c>
      <c r="S29" s="627">
        <v>0</v>
      </c>
      <c r="T29" s="627">
        <v>0</v>
      </c>
      <c r="U29" s="627">
        <v>0</v>
      </c>
      <c r="V29" s="627">
        <v>0</v>
      </c>
      <c r="W29" s="627">
        <v>0</v>
      </c>
      <c r="X29" s="627">
        <v>1600</v>
      </c>
      <c r="Y29" s="627" t="s">
        <v>49</v>
      </c>
      <c r="Z29" s="629" t="s">
        <v>155</v>
      </c>
    </row>
    <row r="30" spans="1:26" s="581" customFormat="1" ht="38.25">
      <c r="A30" s="580"/>
      <c r="B30" s="771">
        <v>71022</v>
      </c>
      <c r="C30" s="771">
        <v>3511</v>
      </c>
      <c r="D30" s="628" t="s">
        <v>922</v>
      </c>
      <c r="E30" s="627" t="s">
        <v>923</v>
      </c>
      <c r="F30" s="627" t="s">
        <v>924</v>
      </c>
      <c r="G30" s="627" t="s">
        <v>916</v>
      </c>
      <c r="H30" s="627" t="s">
        <v>917</v>
      </c>
      <c r="I30" s="627" t="s">
        <v>923</v>
      </c>
      <c r="J30" s="770">
        <v>40424</v>
      </c>
      <c r="K30" s="770">
        <v>40725</v>
      </c>
      <c r="L30" s="627" t="s">
        <v>918</v>
      </c>
      <c r="M30" s="627">
        <v>50</v>
      </c>
      <c r="N30" s="627">
        <v>225</v>
      </c>
      <c r="O30" s="627">
        <v>321.42857142857144</v>
      </c>
      <c r="P30" s="627">
        <v>642.85714285714289</v>
      </c>
      <c r="Q30" s="627">
        <v>0</v>
      </c>
      <c r="R30" s="627">
        <v>0</v>
      </c>
      <c r="S30" s="627">
        <v>0</v>
      </c>
      <c r="T30" s="627">
        <v>0</v>
      </c>
      <c r="U30" s="627">
        <v>0</v>
      </c>
      <c r="V30" s="627">
        <v>0</v>
      </c>
      <c r="W30" s="627">
        <v>0</v>
      </c>
      <c r="X30" s="627">
        <v>800</v>
      </c>
      <c r="Y30" s="627" t="s">
        <v>35</v>
      </c>
      <c r="Z30" s="629" t="s">
        <v>388</v>
      </c>
    </row>
    <row r="31" spans="1:26" s="581" customFormat="1" ht="51">
      <c r="A31" s="580"/>
      <c r="B31" s="771">
        <v>71022</v>
      </c>
      <c r="C31" s="771">
        <v>3500</v>
      </c>
      <c r="D31" s="628" t="s">
        <v>925</v>
      </c>
      <c r="E31" s="627" t="s">
        <v>926</v>
      </c>
      <c r="F31" s="627" t="s">
        <v>927</v>
      </c>
      <c r="G31" s="627" t="s">
        <v>916</v>
      </c>
      <c r="H31" s="627" t="s">
        <v>917</v>
      </c>
      <c r="I31" s="627" t="s">
        <v>926</v>
      </c>
      <c r="J31" s="770">
        <v>40904</v>
      </c>
      <c r="K31" s="770">
        <v>40904</v>
      </c>
      <c r="L31" s="627" t="s">
        <v>918</v>
      </c>
      <c r="M31" s="627">
        <v>220</v>
      </c>
      <c r="N31" s="627">
        <v>990</v>
      </c>
      <c r="O31" s="627">
        <v>1414.2857142857142</v>
      </c>
      <c r="P31" s="627">
        <v>2828.5714285714289</v>
      </c>
      <c r="Q31" s="627">
        <v>0</v>
      </c>
      <c r="R31" s="627">
        <v>0</v>
      </c>
      <c r="S31" s="627">
        <v>0</v>
      </c>
      <c r="T31" s="627">
        <v>0</v>
      </c>
      <c r="U31" s="627">
        <v>0</v>
      </c>
      <c r="V31" s="627">
        <v>0</v>
      </c>
      <c r="W31" s="627">
        <v>0</v>
      </c>
      <c r="X31" s="627">
        <v>1500</v>
      </c>
      <c r="Y31" s="627" t="s">
        <v>50</v>
      </c>
      <c r="Z31" s="629" t="s">
        <v>155</v>
      </c>
    </row>
    <row r="32" spans="1:26" s="581" customFormat="1" ht="25.5">
      <c r="A32" s="580"/>
      <c r="B32" s="771">
        <v>71022</v>
      </c>
      <c r="C32" s="771">
        <v>3511</v>
      </c>
      <c r="D32" s="628" t="s">
        <v>928</v>
      </c>
      <c r="E32" s="627" t="s">
        <v>929</v>
      </c>
      <c r="F32" s="627" t="s">
        <v>930</v>
      </c>
      <c r="G32" s="627" t="s">
        <v>916</v>
      </c>
      <c r="H32" s="627" t="s">
        <v>917</v>
      </c>
      <c r="I32" s="627" t="s">
        <v>931</v>
      </c>
      <c r="J32" s="770">
        <v>41907</v>
      </c>
      <c r="K32" s="770">
        <v>41907</v>
      </c>
      <c r="L32" s="627" t="s">
        <v>918</v>
      </c>
      <c r="M32" s="627">
        <v>5</v>
      </c>
      <c r="N32" s="627">
        <v>5.625</v>
      </c>
      <c r="O32" s="627">
        <v>8.0357142857142865</v>
      </c>
      <c r="P32" s="627">
        <v>16.071428571428573</v>
      </c>
      <c r="Q32" s="627">
        <v>0</v>
      </c>
      <c r="R32" s="627">
        <v>0</v>
      </c>
      <c r="S32" s="627">
        <v>0</v>
      </c>
      <c r="T32" s="627">
        <v>0</v>
      </c>
      <c r="U32" s="627">
        <v>0</v>
      </c>
      <c r="V32" s="627">
        <v>0</v>
      </c>
      <c r="W32" s="627">
        <v>0</v>
      </c>
      <c r="X32" s="627">
        <v>1300</v>
      </c>
      <c r="Y32" s="627" t="s">
        <v>53</v>
      </c>
      <c r="Z32" s="629" t="s">
        <v>155</v>
      </c>
    </row>
    <row r="33" spans="1:27" s="565" customFormat="1">
      <c r="A33" s="583" t="s">
        <v>279</v>
      </c>
      <c r="B33" s="584"/>
      <c r="C33" s="584"/>
      <c r="D33" s="584"/>
      <c r="E33" s="584"/>
      <c r="F33" s="584"/>
      <c r="G33" s="584"/>
      <c r="H33" s="584"/>
      <c r="I33" s="584"/>
      <c r="J33" s="584"/>
      <c r="K33" s="584"/>
      <c r="L33" s="585"/>
      <c r="M33" s="585">
        <f>SUM(M28:M32)</f>
        <v>499.7</v>
      </c>
      <c r="N33" s="585">
        <f>SUM(N28:N32)</f>
        <v>2231.7750000000001</v>
      </c>
      <c r="O33" s="585">
        <f>SUM(O28:O32)</f>
        <v>3188.25</v>
      </c>
      <c r="P33" s="585">
        <f>SUM(P28:P32)</f>
        <v>6376.5000000000009</v>
      </c>
      <c r="Q33" s="585">
        <f>SUM(Q28:Q32)</f>
        <v>0</v>
      </c>
      <c r="R33" s="585">
        <f>SUM(R28:R32)</f>
        <v>0</v>
      </c>
      <c r="S33" s="585">
        <f>SUM(S28:S32)</f>
        <v>0</v>
      </c>
      <c r="T33" s="585">
        <f>SUM(T28:T32)</f>
        <v>0</v>
      </c>
      <c r="U33" s="585">
        <f>SUM(U28:U32)</f>
        <v>0</v>
      </c>
      <c r="V33" s="585">
        <f>SUM(V28:V32)</f>
        <v>0</v>
      </c>
      <c r="W33" s="585">
        <f>SUM(W28:W32)</f>
        <v>0</v>
      </c>
      <c r="X33" s="586"/>
      <c r="Y33" s="586"/>
      <c r="Z33" s="587"/>
    </row>
    <row r="34" spans="1:27" s="565" customFormat="1">
      <c r="A34" s="583" t="s">
        <v>286</v>
      </c>
      <c r="B34" s="584"/>
      <c r="C34" s="584"/>
      <c r="D34" s="584"/>
      <c r="E34" s="584"/>
      <c r="F34" s="584"/>
      <c r="G34" s="584"/>
      <c r="H34" s="584"/>
      <c r="I34" s="584"/>
      <c r="J34" s="584"/>
      <c r="K34" s="584"/>
      <c r="L34" s="585"/>
      <c r="M34" s="585">
        <f>SUMIF($Z$28:$Z$32,"industrie",M28:M32)</f>
        <v>50</v>
      </c>
      <c r="N34" s="585">
        <f>SUMIF($Z$28:$Z$32,"industrie",N28:N32)</f>
        <v>225</v>
      </c>
      <c r="O34" s="585">
        <f>SUMIF($Z$28:$Z$32,"industrie",O28:O32)</f>
        <v>321.42857142857144</v>
      </c>
      <c r="P34" s="585">
        <f>SUMIF($Z$28:$Z$32,"industrie",P28:P32)</f>
        <v>642.85714285714289</v>
      </c>
      <c r="Q34" s="585">
        <f>SUMIF($Z$28:$Z$32,"industrie",Q28:Q32)</f>
        <v>0</v>
      </c>
      <c r="R34" s="585">
        <f>SUMIF($Z$28:$Z$32,"industrie",R28:R32)</f>
        <v>0</v>
      </c>
      <c r="S34" s="585">
        <f>SUMIF($Z$28:$Z$32,"industrie",S28:S32)</f>
        <v>0</v>
      </c>
      <c r="T34" s="585">
        <f>SUMIF($Z$28:$Z$32,"industrie",T28:T32)</f>
        <v>0</v>
      </c>
      <c r="U34" s="585">
        <f>SUMIF($Z$28:$Z$32,"industrie",U28:U32)</f>
        <v>0</v>
      </c>
      <c r="V34" s="585">
        <f>SUMIF($Z$28:$Z$32,"industrie",V28:V32)</f>
        <v>0</v>
      </c>
      <c r="W34" s="585">
        <f>SUMIF($Z$28:$Z$32,"industrie",W28:W32)</f>
        <v>0</v>
      </c>
      <c r="X34" s="586"/>
      <c r="Y34" s="586"/>
      <c r="Z34" s="587"/>
    </row>
    <row r="35" spans="1:27" s="565" customFormat="1">
      <c r="A35" s="583" t="s">
        <v>287</v>
      </c>
      <c r="B35" s="584"/>
      <c r="C35" s="584"/>
      <c r="D35" s="584"/>
      <c r="E35" s="584"/>
      <c r="F35" s="584"/>
      <c r="G35" s="584"/>
      <c r="H35" s="584"/>
      <c r="I35" s="584"/>
      <c r="J35" s="584"/>
      <c r="K35" s="584"/>
      <c r="L35" s="585"/>
      <c r="M35" s="585">
        <f ca="1">SUMIF($Z$28:AC32,"tertiair",M28:M32)</f>
        <v>449.7</v>
      </c>
      <c r="N35" s="585">
        <f ca="1">SUMIF($Z$28:AD32,"tertiair",N28:N32)</f>
        <v>2006.7750000000001</v>
      </c>
      <c r="O35" s="585">
        <f ca="1">SUMIF($Z$28:AE32,"tertiair",O28:O32)</f>
        <v>2866.8214285714284</v>
      </c>
      <c r="P35" s="585">
        <f ca="1">SUMIF($Z$28:AF32,"tertiair",P28:P32)</f>
        <v>5733.6428571428578</v>
      </c>
      <c r="Q35" s="585">
        <f ca="1">SUMIF($Z$28:AG32,"tertiair",Q28:Q32)</f>
        <v>0</v>
      </c>
      <c r="R35" s="585">
        <f ca="1">SUMIF($Z$28:AH32,"tertiair",R28:R32)</f>
        <v>0</v>
      </c>
      <c r="S35" s="585">
        <f ca="1">SUMIF($Z$28:AI32,"tertiair",S28:S32)</f>
        <v>0</v>
      </c>
      <c r="T35" s="585">
        <f ca="1">SUMIF($Z$28:AJ32,"tertiair",T28:T32)</f>
        <v>0</v>
      </c>
      <c r="U35" s="585">
        <f ca="1">SUMIF($Z$28:AK32,"tertiair",U28:U32)</f>
        <v>0</v>
      </c>
      <c r="V35" s="585">
        <f ca="1">SUMIF($Z$28:AL32,"tertiair",V28:V32)</f>
        <v>0</v>
      </c>
      <c r="W35" s="585">
        <f ca="1">SUMIF($Z$28:AM32,"tertiair",W28:W32)</f>
        <v>0</v>
      </c>
      <c r="X35" s="586"/>
      <c r="Y35" s="586"/>
      <c r="Z35" s="587"/>
    </row>
    <row r="36" spans="1:27" s="565" customFormat="1" ht="15.75" thickBot="1">
      <c r="A36" s="588" t="s">
        <v>288</v>
      </c>
      <c r="B36" s="589"/>
      <c r="C36" s="589"/>
      <c r="D36" s="589"/>
      <c r="E36" s="589"/>
      <c r="F36" s="589"/>
      <c r="G36" s="589"/>
      <c r="H36" s="589"/>
      <c r="I36" s="589"/>
      <c r="J36" s="589"/>
      <c r="K36" s="589"/>
      <c r="L36" s="590"/>
      <c r="M36" s="590">
        <f>SUMIF($Z$28:$Z$32,"landbouw",M28:M32)</f>
        <v>0</v>
      </c>
      <c r="N36" s="590">
        <f>SUMIF($Z$28:$Z$32,"landbouw",N28:N32)</f>
        <v>0</v>
      </c>
      <c r="O36" s="590">
        <f>SUMIF($Z$28:$Z$32,"landbouw",O28:O32)</f>
        <v>0</v>
      </c>
      <c r="P36" s="590">
        <f>SUMIF($Z$28:$Z$32,"landbouw",P28:P32)</f>
        <v>0</v>
      </c>
      <c r="Q36" s="590">
        <f>SUMIF($Z$28:$Z$32,"landbouw",Q28:Q32)</f>
        <v>0</v>
      </c>
      <c r="R36" s="590">
        <f>SUMIF($Z$28:$Z$32,"landbouw",R28:R32)</f>
        <v>0</v>
      </c>
      <c r="S36" s="590">
        <f>SUMIF($Z$28:$Z$32,"landbouw",S28:S32)</f>
        <v>0</v>
      </c>
      <c r="T36" s="590">
        <f>SUMIF($Z$28:$Z$32,"landbouw",T28:T32)</f>
        <v>0</v>
      </c>
      <c r="U36" s="590">
        <f>SUMIF($Z$28:$Z$32,"landbouw",U28:U32)</f>
        <v>0</v>
      </c>
      <c r="V36" s="590">
        <f>SUMIF($Z$28:$Z$32,"landbouw",V28:V32)</f>
        <v>0</v>
      </c>
      <c r="W36" s="590">
        <f>SUMIF($Z$28:$Z$32,"landbouw",W28:W32)</f>
        <v>0</v>
      </c>
      <c r="X36" s="591"/>
      <c r="Y36" s="591"/>
      <c r="Z36" s="592"/>
    </row>
    <row r="37" spans="1:27" s="534" customFormat="1" ht="15.75" thickBot="1">
      <c r="A37" s="593"/>
      <c r="B37" s="594"/>
      <c r="C37" s="594"/>
      <c r="D37" s="594"/>
      <c r="E37" s="594"/>
      <c r="F37" s="594"/>
      <c r="G37" s="594"/>
      <c r="H37" s="594"/>
      <c r="I37" s="594"/>
      <c r="J37" s="594"/>
      <c r="K37" s="594"/>
      <c r="L37" s="577"/>
      <c r="M37" s="577"/>
      <c r="N37" s="577"/>
      <c r="O37" s="578"/>
      <c r="P37" s="578"/>
    </row>
    <row r="38" spans="1:27" s="534" customFormat="1" ht="45">
      <c r="A38" s="595" t="s">
        <v>280</v>
      </c>
      <c r="B38" s="624" t="s">
        <v>89</v>
      </c>
      <c r="C38" s="624" t="s">
        <v>90</v>
      </c>
      <c r="D38" s="624" t="s">
        <v>91</v>
      </c>
      <c r="E38" s="624" t="s">
        <v>92</v>
      </c>
      <c r="F38" s="624" t="s">
        <v>93</v>
      </c>
      <c r="G38" s="624" t="s">
        <v>94</v>
      </c>
      <c r="H38" s="624" t="s">
        <v>95</v>
      </c>
      <c r="I38" s="624" t="s">
        <v>96</v>
      </c>
      <c r="J38" s="624" t="s">
        <v>97</v>
      </c>
      <c r="K38" s="624" t="s">
        <v>98</v>
      </c>
      <c r="L38" s="624" t="s">
        <v>99</v>
      </c>
      <c r="M38" s="625" t="s">
        <v>297</v>
      </c>
      <c r="N38" s="625" t="s">
        <v>100</v>
      </c>
      <c r="O38" s="625" t="s">
        <v>101</v>
      </c>
      <c r="P38" s="625" t="s">
        <v>543</v>
      </c>
      <c r="Q38" s="625" t="s">
        <v>102</v>
      </c>
      <c r="R38" s="625" t="s">
        <v>103</v>
      </c>
      <c r="S38" s="625" t="s">
        <v>104</v>
      </c>
      <c r="T38" s="625" t="s">
        <v>105</v>
      </c>
      <c r="U38" s="625" t="s">
        <v>106</v>
      </c>
      <c r="V38" s="625" t="s">
        <v>107</v>
      </c>
      <c r="W38" s="624" t="s">
        <v>108</v>
      </c>
      <c r="X38" s="624" t="s">
        <v>298</v>
      </c>
      <c r="Y38" s="624" t="s">
        <v>109</v>
      </c>
      <c r="Z38" s="626" t="s">
        <v>299</v>
      </c>
    </row>
    <row r="39" spans="1:27" s="596" customFormat="1" ht="63.75">
      <c r="A39" s="582"/>
      <c r="B39" s="771">
        <v>71022</v>
      </c>
      <c r="C39" s="771">
        <v>3511</v>
      </c>
      <c r="D39" s="630" t="s">
        <v>932</v>
      </c>
      <c r="E39" s="630" t="s">
        <v>933</v>
      </c>
      <c r="F39" s="630" t="s">
        <v>934</v>
      </c>
      <c r="G39" s="630" t="s">
        <v>935</v>
      </c>
      <c r="H39" s="630" t="s">
        <v>936</v>
      </c>
      <c r="I39" s="630" t="s">
        <v>937</v>
      </c>
      <c r="J39" s="770">
        <v>32143</v>
      </c>
      <c r="K39" s="770">
        <v>37316</v>
      </c>
      <c r="L39" s="630" t="s">
        <v>918</v>
      </c>
      <c r="M39" s="630">
        <v>275</v>
      </c>
      <c r="N39" s="630">
        <v>1237.5</v>
      </c>
      <c r="O39" s="630">
        <v>0</v>
      </c>
      <c r="P39" s="630">
        <v>0</v>
      </c>
      <c r="Q39" s="630">
        <v>3535.7142857142858</v>
      </c>
      <c r="R39" s="630">
        <v>0</v>
      </c>
      <c r="S39" s="630">
        <v>0</v>
      </c>
      <c r="T39" s="630">
        <v>0</v>
      </c>
      <c r="U39" s="630">
        <v>0</v>
      </c>
      <c r="V39" s="630">
        <v>0</v>
      </c>
      <c r="W39" s="630">
        <v>0</v>
      </c>
      <c r="X39" s="630">
        <v>1600</v>
      </c>
      <c r="Y39" s="630" t="s">
        <v>49</v>
      </c>
      <c r="Z39" s="631" t="s">
        <v>155</v>
      </c>
    </row>
    <row r="40" spans="1:27" s="565" customFormat="1">
      <c r="A40" s="583" t="s">
        <v>279</v>
      </c>
      <c r="B40" s="584"/>
      <c r="C40" s="584"/>
      <c r="D40" s="584"/>
      <c r="E40" s="584"/>
      <c r="F40" s="584"/>
      <c r="G40" s="584"/>
      <c r="H40" s="584"/>
      <c r="I40" s="584"/>
      <c r="J40" s="584"/>
      <c r="K40" s="584"/>
      <c r="L40" s="585"/>
      <c r="M40" s="585">
        <f>SUM(M39:M39)</f>
        <v>275</v>
      </c>
      <c r="N40" s="585">
        <f>SUM(N39:N39)</f>
        <v>1237.5</v>
      </c>
      <c r="O40" s="585">
        <f>SUM(O39:O39)</f>
        <v>0</v>
      </c>
      <c r="P40" s="585">
        <f>SUM(P39:P39)</f>
        <v>0</v>
      </c>
      <c r="Q40" s="585">
        <f>SUM(Q39:Q39)</f>
        <v>3535.7142857142858</v>
      </c>
      <c r="R40" s="585">
        <f>SUM(R39:R39)</f>
        <v>0</v>
      </c>
      <c r="S40" s="585">
        <f>SUM(S39:S39)</f>
        <v>0</v>
      </c>
      <c r="T40" s="585">
        <f>SUM(T39:T39)</f>
        <v>0</v>
      </c>
      <c r="U40" s="585">
        <f>SUM(U39:U39)</f>
        <v>0</v>
      </c>
      <c r="V40" s="585">
        <f>SUM(V39:V39)</f>
        <v>0</v>
      </c>
      <c r="W40" s="585">
        <f>SUM(W39:W39)</f>
        <v>0</v>
      </c>
      <c r="X40" s="586"/>
      <c r="Y40" s="586"/>
      <c r="Z40" s="587"/>
    </row>
    <row r="41" spans="1:27" s="565" customFormat="1">
      <c r="A41" s="583" t="s">
        <v>286</v>
      </c>
      <c r="B41" s="584"/>
      <c r="C41" s="584"/>
      <c r="D41" s="584"/>
      <c r="E41" s="584"/>
      <c r="F41" s="584"/>
      <c r="G41" s="584"/>
      <c r="H41" s="584"/>
      <c r="I41" s="584"/>
      <c r="J41" s="584"/>
      <c r="K41" s="584"/>
      <c r="L41" s="585"/>
      <c r="M41" s="585">
        <f>SUMIF($Z$39:$Z$39,"industrie",M39:M39)</f>
        <v>0</v>
      </c>
      <c r="N41" s="585">
        <f>SUMIF($Z$39:$Z$39,"industrie",N39:N39)</f>
        <v>0</v>
      </c>
      <c r="O41" s="585">
        <f>SUMIF($Z$39:$Z$39,"industrie",O39:O39)</f>
        <v>0</v>
      </c>
      <c r="P41" s="585">
        <f>SUMIF($Z$39:$Z$39,"industrie",P39:P39)</f>
        <v>0</v>
      </c>
      <c r="Q41" s="585">
        <f>SUMIF($Z$39:$Z$39,"industrie",Q39:Q39)</f>
        <v>0</v>
      </c>
      <c r="R41" s="585">
        <f>SUMIF($Z$39:$Z$39,"industrie",R39:R39)</f>
        <v>0</v>
      </c>
      <c r="S41" s="585">
        <f>SUMIF($Z$39:$Z$39,"industrie",S39:S39)</f>
        <v>0</v>
      </c>
      <c r="T41" s="585">
        <f>SUMIF($Z$39:$Z$39,"industrie",T39:T39)</f>
        <v>0</v>
      </c>
      <c r="U41" s="585">
        <f>SUMIF($Z$39:$Z$39,"industrie",U39:U39)</f>
        <v>0</v>
      </c>
      <c r="V41" s="585">
        <f>SUMIF($Z$39:$Z$39,"industrie",V39:V39)</f>
        <v>0</v>
      </c>
      <c r="W41" s="585">
        <f>SUMIF($Z$39:$Z$39,"industrie",W39:W39)</f>
        <v>0</v>
      </c>
      <c r="X41" s="586"/>
      <c r="Y41" s="586"/>
      <c r="Z41" s="587"/>
    </row>
    <row r="42" spans="1:27" s="565" customFormat="1">
      <c r="A42" s="583" t="s">
        <v>287</v>
      </c>
      <c r="B42" s="584"/>
      <c r="C42" s="584"/>
      <c r="D42" s="584"/>
      <c r="E42" s="584"/>
      <c r="F42" s="584"/>
      <c r="G42" s="584"/>
      <c r="H42" s="584"/>
      <c r="I42" s="584"/>
      <c r="J42" s="584"/>
      <c r="K42" s="584"/>
      <c r="L42" s="585"/>
      <c r="M42" s="585">
        <f>SUMIF($Z$39:$Z$40,"tertiair",M39:M40)</f>
        <v>275</v>
      </c>
      <c r="N42" s="585">
        <f>SUMIF($Z$39:$Z$40,"tertiair",N39:N40)</f>
        <v>1237.5</v>
      </c>
      <c r="O42" s="585">
        <f>SUMIF($Z$39:$Z$40,"tertiair",O39:O40)</f>
        <v>0</v>
      </c>
      <c r="P42" s="585">
        <f>SUMIF($Z$39:$Z$40,"tertiair",P39:P40)</f>
        <v>0</v>
      </c>
      <c r="Q42" s="585">
        <f>SUMIF($Z$39:$Z$40,"tertiair",Q39:Q40)</f>
        <v>3535.7142857142858</v>
      </c>
      <c r="R42" s="585">
        <f>SUMIF($Z$39:$Z$40,"tertiair",R39:R40)</f>
        <v>0</v>
      </c>
      <c r="S42" s="585">
        <f>SUMIF($Z$39:$Z$40,"tertiair",S39:S40)</f>
        <v>0</v>
      </c>
      <c r="T42" s="585">
        <f>SUMIF($Z$39:$Z$40,"tertiair",T39:T40)</f>
        <v>0</v>
      </c>
      <c r="U42" s="585">
        <f>SUMIF($Z$39:$Z$40,"tertiair",U39:U40)</f>
        <v>0</v>
      </c>
      <c r="V42" s="585">
        <f>SUMIF($Z$39:$Z$40,"tertiair",V39:V40)</f>
        <v>0</v>
      </c>
      <c r="W42" s="585">
        <f>SUMIF($Z$39:$Z$40,"tertiair",W39:W40)</f>
        <v>0</v>
      </c>
      <c r="X42" s="586"/>
      <c r="Y42" s="586"/>
      <c r="Z42" s="587"/>
    </row>
    <row r="43" spans="1:27" s="565" customFormat="1" ht="15.75" thickBot="1">
      <c r="A43" s="588" t="s">
        <v>288</v>
      </c>
      <c r="B43" s="589"/>
      <c r="C43" s="589"/>
      <c r="D43" s="589"/>
      <c r="E43" s="589"/>
      <c r="F43" s="589"/>
      <c r="G43" s="589"/>
      <c r="H43" s="589"/>
      <c r="I43" s="589"/>
      <c r="J43" s="589"/>
      <c r="K43" s="589"/>
      <c r="L43" s="590"/>
      <c r="M43" s="590">
        <f>SUMIF($Z$39:$Z$41,"landbouw",M39:M41)</f>
        <v>0</v>
      </c>
      <c r="N43" s="590">
        <f>SUMIF($Z$39:$Z$41,"landbouw",N39:N41)</f>
        <v>0</v>
      </c>
      <c r="O43" s="590">
        <f>SUMIF($Z$39:$Z$41,"landbouw",O39:O41)</f>
        <v>0</v>
      </c>
      <c r="P43" s="590">
        <f>SUMIF($Z$39:$Z$41,"landbouw",P39:P41)</f>
        <v>0</v>
      </c>
      <c r="Q43" s="590">
        <f>SUMIF($Z$39:$Z$41,"landbouw",Q39:Q41)</f>
        <v>0</v>
      </c>
      <c r="R43" s="590">
        <f>SUMIF($Z$39:$Z$41,"landbouw",R39:R41)</f>
        <v>0</v>
      </c>
      <c r="S43" s="590">
        <f>SUMIF($Z$39:$Z$41,"landbouw",S39:S41)</f>
        <v>0</v>
      </c>
      <c r="T43" s="590">
        <f>SUMIF($Z$39:$Z$41,"landbouw",T39:T41)</f>
        <v>0</v>
      </c>
      <c r="U43" s="590">
        <f>SUMIF($Z$39:$Z$41,"landbouw",U39:U41)</f>
        <v>0</v>
      </c>
      <c r="V43" s="590">
        <f>SUMIF($Z$39:$Z$41,"landbouw",V39:V41)</f>
        <v>0</v>
      </c>
      <c r="W43" s="590">
        <f>SUMIF($Z$39:$Z$41,"landbouw",W39:W41)</f>
        <v>0</v>
      </c>
      <c r="X43" s="591"/>
      <c r="Y43" s="591"/>
      <c r="Z43" s="592"/>
    </row>
    <row r="44" spans="1:27" s="597" customFormat="1">
      <c r="A44" s="593"/>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row>
    <row r="45" spans="1:27" s="597" customFormat="1" ht="15.75" thickBot="1">
      <c r="A45" s="593"/>
      <c r="B45" s="577"/>
      <c r="C45" s="577"/>
      <c r="D45" s="577"/>
      <c r="E45" s="577"/>
      <c r="F45" s="577"/>
      <c r="G45" s="577"/>
      <c r="H45" s="577"/>
      <c r="I45" s="577"/>
      <c r="J45" s="577"/>
      <c r="K45" s="577"/>
      <c r="L45" s="577"/>
      <c r="M45" s="577"/>
      <c r="N45" s="577"/>
      <c r="O45" s="577"/>
      <c r="P45" s="577"/>
      <c r="Q45" s="577"/>
      <c r="R45" s="577"/>
      <c r="S45" s="577"/>
      <c r="T45" s="577"/>
      <c r="U45" s="577"/>
      <c r="V45" s="577"/>
      <c r="W45" s="577"/>
      <c r="X45" s="577"/>
      <c r="Y45" s="577"/>
      <c r="Z45" s="577"/>
      <c r="AA45" s="577"/>
    </row>
    <row r="46" spans="1:27">
      <c r="A46" s="598" t="s">
        <v>281</v>
      </c>
      <c r="B46" s="599"/>
      <c r="C46" s="599"/>
      <c r="D46" s="599"/>
      <c r="E46" s="599"/>
      <c r="F46" s="599"/>
      <c r="G46" s="599"/>
      <c r="H46" s="599"/>
      <c r="I46" s="600"/>
      <c r="J46" s="601"/>
      <c r="K46" s="601"/>
      <c r="L46" s="602"/>
      <c r="M46" s="602"/>
      <c r="N46" s="602"/>
      <c r="O46" s="602"/>
      <c r="P46" s="602"/>
    </row>
    <row r="47" spans="1:27">
      <c r="A47" s="604"/>
      <c r="B47" s="594"/>
      <c r="C47" s="594"/>
      <c r="D47" s="594"/>
      <c r="E47" s="594"/>
      <c r="F47" s="594"/>
      <c r="G47" s="594"/>
      <c r="H47" s="594"/>
      <c r="I47" s="605"/>
      <c r="J47" s="594"/>
      <c r="K47" s="594"/>
      <c r="L47" s="602"/>
      <c r="M47" s="602"/>
      <c r="N47" s="602"/>
      <c r="O47" s="602"/>
      <c r="P47" s="602"/>
    </row>
    <row r="48" spans="1:27">
      <c r="A48" s="606"/>
      <c r="B48" s="607" t="s">
        <v>282</v>
      </c>
      <c r="C48" s="607" t="s">
        <v>283</v>
      </c>
      <c r="D48" s="607"/>
      <c r="E48" s="607"/>
      <c r="F48" s="607"/>
      <c r="G48" s="607"/>
      <c r="H48" s="607"/>
      <c r="I48" s="608"/>
      <c r="J48" s="607"/>
      <c r="K48" s="607"/>
      <c r="L48" s="607"/>
      <c r="M48" s="607"/>
      <c r="N48" s="607"/>
      <c r="O48" s="607"/>
      <c r="P48" s="602"/>
    </row>
    <row r="49" spans="1:16">
      <c r="A49" s="604" t="s">
        <v>279</v>
      </c>
      <c r="B49" s="609">
        <f>IF(ISERROR(O33/(O33+N33)),0,O33/(O33+N33))</f>
        <v>0.58823529411764708</v>
      </c>
      <c r="C49" s="610">
        <f>IF(ISERROR(N33/(O33+N33)),0,N33/(N33+O33))</f>
        <v>0.41176470588235298</v>
      </c>
      <c r="D49" s="577"/>
      <c r="E49" s="577"/>
      <c r="F49" s="577"/>
      <c r="G49" s="577"/>
      <c r="H49" s="577"/>
      <c r="I49" s="611"/>
      <c r="J49" s="577"/>
      <c r="K49" s="577"/>
      <c r="L49" s="612"/>
      <c r="M49" s="612"/>
      <c r="N49" s="612"/>
      <c r="O49" s="612"/>
      <c r="P49" s="602"/>
    </row>
    <row r="50" spans="1:16">
      <c r="A50" s="604"/>
      <c r="B50" s="613"/>
      <c r="C50" s="613"/>
      <c r="D50" s="613"/>
      <c r="E50" s="613"/>
      <c r="F50" s="613"/>
      <c r="G50" s="613"/>
      <c r="H50" s="613"/>
      <c r="I50" s="614"/>
      <c r="J50" s="613"/>
      <c r="K50" s="613"/>
      <c r="L50" s="615"/>
      <c r="M50" s="615"/>
      <c r="N50" s="615"/>
      <c r="O50" s="615"/>
      <c r="P50" s="602"/>
    </row>
    <row r="51" spans="1:16" ht="30">
      <c r="A51" s="616"/>
      <c r="B51" s="617" t="s">
        <v>543</v>
      </c>
      <c r="C51" s="617" t="s">
        <v>102</v>
      </c>
      <c r="D51" s="617" t="s">
        <v>103</v>
      </c>
      <c r="E51" s="617" t="s">
        <v>104</v>
      </c>
      <c r="F51" s="617" t="s">
        <v>105</v>
      </c>
      <c r="G51" s="617" t="s">
        <v>106</v>
      </c>
      <c r="H51" s="617" t="s">
        <v>107</v>
      </c>
      <c r="I51" s="618" t="s">
        <v>108</v>
      </c>
      <c r="J51" s="607"/>
      <c r="K51" s="607"/>
      <c r="L51" s="615"/>
      <c r="M51" s="615"/>
      <c r="N51" s="615"/>
      <c r="O51" s="602"/>
      <c r="P51" s="602"/>
    </row>
    <row r="52" spans="1:16">
      <c r="A52" s="606" t="s">
        <v>284</v>
      </c>
      <c r="B52" s="619">
        <f t="shared" ref="B52:I52" si="2">$C$49*P33</f>
        <v>2625.6176470588243</v>
      </c>
      <c r="C52" s="619">
        <f t="shared" si="2"/>
        <v>0</v>
      </c>
      <c r="D52" s="619">
        <f t="shared" si="2"/>
        <v>0</v>
      </c>
      <c r="E52" s="619">
        <f t="shared" si="2"/>
        <v>0</v>
      </c>
      <c r="F52" s="619">
        <f t="shared" si="2"/>
        <v>0</v>
      </c>
      <c r="G52" s="619">
        <f t="shared" si="2"/>
        <v>0</v>
      </c>
      <c r="H52" s="619">
        <f t="shared" si="2"/>
        <v>0</v>
      </c>
      <c r="I52" s="620">
        <f t="shared" si="2"/>
        <v>0</v>
      </c>
      <c r="J52" s="577"/>
      <c r="K52" s="577"/>
      <c r="L52" s="615"/>
      <c r="M52" s="615"/>
      <c r="N52" s="615"/>
      <c r="O52" s="602"/>
      <c r="P52" s="602"/>
    </row>
    <row r="53" spans="1:16" ht="15.75" thickBot="1">
      <c r="A53" s="621" t="s">
        <v>285</v>
      </c>
      <c r="B53" s="622">
        <f t="shared" ref="B53:I53" si="3">$B$49*P33</f>
        <v>3750.882352941177</v>
      </c>
      <c r="C53" s="622">
        <f t="shared" si="3"/>
        <v>0</v>
      </c>
      <c r="D53" s="622">
        <f t="shared" si="3"/>
        <v>0</v>
      </c>
      <c r="E53" s="622">
        <f t="shared" si="3"/>
        <v>0</v>
      </c>
      <c r="F53" s="622">
        <f t="shared" si="3"/>
        <v>0</v>
      </c>
      <c r="G53" s="622">
        <f t="shared" si="3"/>
        <v>0</v>
      </c>
      <c r="H53" s="622">
        <f t="shared" si="3"/>
        <v>0</v>
      </c>
      <c r="I53" s="623">
        <f t="shared" si="3"/>
        <v>0</v>
      </c>
      <c r="J53" s="577"/>
      <c r="K53" s="577"/>
      <c r="L53" s="615"/>
      <c r="M53" s="615"/>
      <c r="N53" s="615"/>
      <c r="O53" s="602"/>
      <c r="P53" s="602"/>
    </row>
    <row r="54" spans="1:16">
      <c r="J54" s="563"/>
      <c r="K54" s="563"/>
      <c r="L54" s="563"/>
      <c r="M54" s="563"/>
      <c r="N54" s="563"/>
    </row>
    <row r="55" spans="1:16">
      <c r="J55" s="563"/>
      <c r="K55" s="563"/>
      <c r="L55" s="563"/>
      <c r="M55" s="563"/>
      <c r="N55"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892</v>
      </c>
      <c r="B2" s="1060" t="s">
        <v>893</v>
      </c>
      <c r="C2" s="1059" t="s">
        <v>668</v>
      </c>
      <c r="D2" s="1059" t="s">
        <v>760</v>
      </c>
      <c r="E2" s="912"/>
      <c r="F2" s="913" t="s">
        <v>755</v>
      </c>
      <c r="G2" s="914" t="s">
        <v>756</v>
      </c>
      <c r="H2" s="348" t="s">
        <v>757</v>
      </c>
    </row>
    <row r="3" spans="1:9" s="11" customFormat="1">
      <c r="A3" s="1056" t="s">
        <v>890</v>
      </c>
      <c r="B3" s="1057" t="s">
        <v>889</v>
      </c>
      <c r="C3" s="1056" t="s">
        <v>192</v>
      </c>
      <c r="D3" s="1058" t="s">
        <v>891</v>
      </c>
      <c r="E3" s="912"/>
      <c r="F3" s="872" t="s">
        <v>749</v>
      </c>
      <c r="G3" s="872" t="s">
        <v>750</v>
      </c>
      <c r="H3" s="872" t="s">
        <v>751</v>
      </c>
    </row>
    <row r="4" spans="1:9" s="11" customFormat="1">
      <c r="A4" s="349" t="s">
        <v>409</v>
      </c>
      <c r="B4" s="775">
        <v>2015</v>
      </c>
      <c r="C4" s="349" t="s">
        <v>409</v>
      </c>
      <c r="D4" s="349" t="s">
        <v>758</v>
      </c>
      <c r="E4" s="350"/>
      <c r="F4" s="872" t="s">
        <v>752</v>
      </c>
      <c r="G4" s="872" t="s">
        <v>753</v>
      </c>
      <c r="H4" s="872" t="s">
        <v>754</v>
      </c>
    </row>
    <row r="5" spans="1:9">
      <c r="A5" s="344" t="s">
        <v>399</v>
      </c>
      <c r="B5" s="869" t="s">
        <v>704</v>
      </c>
      <c r="C5" s="344" t="s">
        <v>399</v>
      </c>
      <c r="D5" s="344" t="s">
        <v>703</v>
      </c>
      <c r="E5" s="346"/>
      <c r="F5" s="347" t="s">
        <v>400</v>
      </c>
      <c r="G5" s="347" t="s">
        <v>401</v>
      </c>
      <c r="H5" s="348" t="s">
        <v>402</v>
      </c>
    </row>
    <row r="6" spans="1:9">
      <c r="A6" s="344" t="s">
        <v>403</v>
      </c>
      <c r="B6" s="345" t="s">
        <v>704</v>
      </c>
      <c r="C6" s="344" t="s">
        <v>403</v>
      </c>
      <c r="D6" s="344" t="s">
        <v>705</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761</v>
      </c>
      <c r="B8" s="915">
        <v>2014</v>
      </c>
      <c r="C8" s="911" t="s">
        <v>409</v>
      </c>
      <c r="D8" s="911" t="s">
        <v>762</v>
      </c>
      <c r="E8" s="916" t="s">
        <v>763</v>
      </c>
      <c r="F8" s="914"/>
      <c r="G8" s="914"/>
      <c r="H8" s="348"/>
    </row>
    <row r="9" spans="1:9" s="863" customFormat="1">
      <c r="A9" s="911" t="s">
        <v>787</v>
      </c>
      <c r="B9" s="915">
        <v>2017</v>
      </c>
      <c r="C9" s="911" t="s">
        <v>789</v>
      </c>
      <c r="D9" s="911" t="s">
        <v>788</v>
      </c>
      <c r="E9" s="351" t="s">
        <v>786</v>
      </c>
      <c r="F9" s="914"/>
      <c r="G9" s="914"/>
      <c r="H9" s="348"/>
    </row>
    <row r="10" spans="1:9" s="11" customFormat="1">
      <c r="A10" s="349" t="s">
        <v>638</v>
      </c>
      <c r="B10" s="907" t="str">
        <f>"juni 2016"</f>
        <v>juni 2016</v>
      </c>
      <c r="C10" s="349" t="s">
        <v>642</v>
      </c>
      <c r="D10" s="349" t="s">
        <v>643</v>
      </c>
      <c r="E10" s="350"/>
      <c r="F10" s="872" t="s">
        <v>639</v>
      </c>
      <c r="G10" s="872" t="s">
        <v>640</v>
      </c>
      <c r="H10" s="873" t="s">
        <v>641</v>
      </c>
    </row>
    <row r="11" spans="1:9" s="863" customFormat="1">
      <c r="A11" s="917" t="s">
        <v>766</v>
      </c>
      <c r="B11" s="918" t="s">
        <v>759</v>
      </c>
      <c r="C11" s="917" t="s">
        <v>767</v>
      </c>
      <c r="D11" s="917" t="s">
        <v>768</v>
      </c>
      <c r="E11" s="673"/>
      <c r="F11" s="914" t="s">
        <v>769</v>
      </c>
      <c r="G11" s="914" t="s">
        <v>770</v>
      </c>
      <c r="H11" s="348" t="s">
        <v>771</v>
      </c>
    </row>
    <row r="12" spans="1:9" s="863" customFormat="1">
      <c r="A12" s="911" t="s">
        <v>764</v>
      </c>
      <c r="B12" s="915">
        <v>2017</v>
      </c>
      <c r="C12" s="911" t="s">
        <v>428</v>
      </c>
      <c r="D12" s="911" t="s">
        <v>765</v>
      </c>
      <c r="E12" s="916"/>
      <c r="F12" s="914" t="s">
        <v>755</v>
      </c>
      <c r="G12" s="914" t="s">
        <v>756</v>
      </c>
      <c r="H12" s="348" t="s">
        <v>757</v>
      </c>
    </row>
    <row r="13" spans="1:9" s="10" customFormat="1">
      <c r="A13" s="349" t="s">
        <v>411</v>
      </c>
      <c r="B13" s="345" t="s">
        <v>427</v>
      </c>
      <c r="C13" s="344"/>
      <c r="D13" s="353" t="s">
        <v>426</v>
      </c>
      <c r="E13" s="346"/>
      <c r="F13" s="347"/>
      <c r="G13" s="347"/>
      <c r="H13" s="348"/>
    </row>
    <row r="14" spans="1:9">
      <c r="A14" s="344" t="s">
        <v>394</v>
      </c>
      <c r="B14" s="345" t="s">
        <v>704</v>
      </c>
      <c r="C14" s="344"/>
      <c r="D14" s="344" t="s">
        <v>706</v>
      </c>
      <c r="E14" s="351" t="s">
        <v>395</v>
      </c>
      <c r="F14" s="347" t="s">
        <v>396</v>
      </c>
      <c r="G14" s="347" t="s">
        <v>397</v>
      </c>
      <c r="H14" s="347" t="s">
        <v>398</v>
      </c>
    </row>
    <row r="15" spans="1:9">
      <c r="A15" s="344" t="s">
        <v>410</v>
      </c>
      <c r="B15" s="345" t="s">
        <v>707</v>
      </c>
      <c r="C15" s="344" t="s">
        <v>410</v>
      </c>
      <c r="D15" s="344" t="s">
        <v>424</v>
      </c>
      <c r="E15" s="346"/>
      <c r="F15" s="347" t="s">
        <v>799</v>
      </c>
      <c r="G15" s="347" t="s">
        <v>800</v>
      </c>
      <c r="H15" s="347" t="s">
        <v>801</v>
      </c>
    </row>
    <row r="16" spans="1:9" s="870" customFormat="1">
      <c r="A16" s="874" t="s">
        <v>515</v>
      </c>
      <c r="B16" s="875" t="s">
        <v>379</v>
      </c>
      <c r="C16" s="874" t="s">
        <v>377</v>
      </c>
      <c r="D16" s="876" t="s">
        <v>378</v>
      </c>
      <c r="E16" s="877" t="s">
        <v>380</v>
      </c>
      <c r="F16" s="919" t="s">
        <v>773</v>
      </c>
      <c r="G16" s="919" t="s">
        <v>774</v>
      </c>
      <c r="H16" s="348" t="s">
        <v>775</v>
      </c>
      <c r="I16" s="863"/>
    </row>
    <row r="17" spans="1:10" s="870" customFormat="1">
      <c r="A17" s="874" t="s">
        <v>515</v>
      </c>
      <c r="B17" s="875" t="s">
        <v>793</v>
      </c>
      <c r="C17" s="874" t="s">
        <v>795</v>
      </c>
      <c r="D17" s="876" t="s">
        <v>796</v>
      </c>
      <c r="E17" s="877"/>
      <c r="F17" s="913" t="s">
        <v>773</v>
      </c>
      <c r="G17" s="913" t="s">
        <v>774</v>
      </c>
      <c r="H17" s="913" t="s">
        <v>775</v>
      </c>
    </row>
    <row r="18" spans="1:10" s="11" customFormat="1">
      <c r="A18" s="349" t="s">
        <v>514</v>
      </c>
      <c r="B18" s="352" t="s">
        <v>704</v>
      </c>
      <c r="C18" s="349" t="s">
        <v>428</v>
      </c>
      <c r="D18" s="349" t="s">
        <v>708</v>
      </c>
      <c r="E18" s="350"/>
      <c r="F18" s="913" t="s">
        <v>773</v>
      </c>
      <c r="G18" s="913" t="s">
        <v>774</v>
      </c>
      <c r="H18" s="913" t="s">
        <v>775</v>
      </c>
      <c r="I18" s="863"/>
    </row>
    <row r="19" spans="1:10" s="10" customFormat="1">
      <c r="A19" s="349" t="s">
        <v>513</v>
      </c>
      <c r="B19" s="352" t="s">
        <v>512</v>
      </c>
      <c r="C19" s="349" t="s">
        <v>511</v>
      </c>
      <c r="D19" s="349" t="s">
        <v>510</v>
      </c>
      <c r="E19" s="343"/>
      <c r="F19" s="913"/>
      <c r="G19" s="913"/>
      <c r="H19" s="913"/>
    </row>
    <row r="20" spans="1:10">
      <c r="A20" s="349" t="s">
        <v>192</v>
      </c>
      <c r="B20" s="775" t="s">
        <v>704</v>
      </c>
      <c r="C20" s="349" t="s">
        <v>429</v>
      </c>
      <c r="D20" s="349" t="s">
        <v>709</v>
      </c>
      <c r="E20" s="346"/>
      <c r="F20" s="913" t="s">
        <v>430</v>
      </c>
      <c r="G20" s="913" t="s">
        <v>431</v>
      </c>
      <c r="H20" s="913" t="s">
        <v>432</v>
      </c>
    </row>
    <row r="21" spans="1:10" s="11" customFormat="1">
      <c r="A21" s="1062" t="s">
        <v>894</v>
      </c>
      <c r="B21" s="1063" t="s">
        <v>889</v>
      </c>
      <c r="C21" s="1062" t="s">
        <v>192</v>
      </c>
      <c r="D21" s="1062" t="s">
        <v>895</v>
      </c>
      <c r="E21" s="350"/>
      <c r="F21" s="872" t="s">
        <v>749</v>
      </c>
      <c r="G21" s="872" t="s">
        <v>750</v>
      </c>
      <c r="H21" s="872" t="s">
        <v>751</v>
      </c>
    </row>
    <row r="22" spans="1:10" s="863" customFormat="1">
      <c r="A22" s="349" t="s">
        <v>410</v>
      </c>
      <c r="B22" s="775" t="s">
        <v>794</v>
      </c>
      <c r="C22" s="349" t="s">
        <v>410</v>
      </c>
      <c r="D22" s="349" t="s">
        <v>797</v>
      </c>
      <c r="E22" s="346"/>
      <c r="F22" s="913" t="s">
        <v>805</v>
      </c>
      <c r="G22" s="913" t="s">
        <v>806</v>
      </c>
      <c r="H22" s="913" t="s">
        <v>807</v>
      </c>
      <c r="I22"/>
    </row>
    <row r="23" spans="1:10" s="863" customFormat="1">
      <c r="A23" s="349" t="s">
        <v>410</v>
      </c>
      <c r="B23" s="775" t="s">
        <v>793</v>
      </c>
      <c r="C23" s="349" t="s">
        <v>410</v>
      </c>
      <c r="D23" s="349" t="s">
        <v>798</v>
      </c>
      <c r="E23" s="346"/>
      <c r="F23" s="913" t="s">
        <v>802</v>
      </c>
      <c r="G23" s="913" t="s">
        <v>803</v>
      </c>
      <c r="H23" s="913" t="s">
        <v>804</v>
      </c>
    </row>
    <row r="24" spans="1:10" s="11" customFormat="1">
      <c r="A24" s="349" t="s">
        <v>408</v>
      </c>
      <c r="B24" s="907" t="str">
        <f>"maart 2016"</f>
        <v>maart 2016</v>
      </c>
      <c r="C24" s="349" t="s">
        <v>408</v>
      </c>
      <c r="D24" s="349" t="s">
        <v>671</v>
      </c>
      <c r="E24" s="350" t="s">
        <v>672</v>
      </c>
      <c r="F24" s="913" t="s">
        <v>808</v>
      </c>
      <c r="G24" s="913" t="s">
        <v>809</v>
      </c>
      <c r="H24" s="913" t="s">
        <v>810</v>
      </c>
      <c r="I24" s="863"/>
      <c r="J24" s="863"/>
    </row>
    <row r="25" spans="1:10" s="11" customFormat="1">
      <c r="A25" s="349" t="s">
        <v>408</v>
      </c>
      <c r="B25" s="907" t="str">
        <f>"maart 2016"</f>
        <v>maart 2016</v>
      </c>
      <c r="C25" s="349" t="s">
        <v>408</v>
      </c>
      <c r="D25" s="908" t="s">
        <v>648</v>
      </c>
      <c r="E25" s="350" t="s">
        <v>425</v>
      </c>
      <c r="F25" s="913" t="s">
        <v>808</v>
      </c>
      <c r="G25" s="913" t="s">
        <v>809</v>
      </c>
      <c r="H25" s="913" t="s">
        <v>810</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628</v>
      </c>
      <c r="B1" s="878" t="s">
        <v>629</v>
      </c>
      <c r="C1" s="878" t="s">
        <v>631</v>
      </c>
      <c r="D1" s="878" t="s">
        <v>630</v>
      </c>
    </row>
    <row r="2" spans="1:4" s="864" customFormat="1">
      <c r="A2" s="864" t="s">
        <v>680</v>
      </c>
      <c r="B2" s="888">
        <v>42433</v>
      </c>
      <c r="C2" s="864" t="s">
        <v>683</v>
      </c>
      <c r="D2" s="889" t="s">
        <v>678</v>
      </c>
    </row>
    <row r="3" spans="1:4" s="864" customFormat="1">
      <c r="A3" s="864" t="s">
        <v>680</v>
      </c>
      <c r="B3" s="888">
        <v>42425</v>
      </c>
      <c r="C3" s="864" t="s">
        <v>679</v>
      </c>
      <c r="D3" s="889" t="s">
        <v>674</v>
      </c>
    </row>
    <row r="4" spans="1:4" s="864" customFormat="1">
      <c r="A4" s="864" t="s">
        <v>680</v>
      </c>
      <c r="B4" s="888">
        <v>42433</v>
      </c>
      <c r="C4" s="864" t="s">
        <v>681</v>
      </c>
      <c r="D4" s="889" t="s">
        <v>675</v>
      </c>
    </row>
    <row r="5" spans="1:4" s="864" customFormat="1">
      <c r="A5" s="864" t="s">
        <v>680</v>
      </c>
      <c r="B5" s="888">
        <v>42433</v>
      </c>
      <c r="C5" s="864" t="s">
        <v>682</v>
      </c>
      <c r="D5" s="889" t="s">
        <v>676</v>
      </c>
    </row>
    <row r="6" spans="1:4" s="864" customFormat="1">
      <c r="A6" s="864" t="s">
        <v>680</v>
      </c>
      <c r="B6" s="888">
        <v>42433</v>
      </c>
      <c r="C6" s="864" t="s">
        <v>684</v>
      </c>
      <c r="D6" s="889" t="s">
        <v>677</v>
      </c>
    </row>
    <row r="7" spans="1:4" s="864" customFormat="1">
      <c r="A7" s="864" t="s">
        <v>680</v>
      </c>
      <c r="B7" s="888">
        <v>42436</v>
      </c>
      <c r="C7" s="864" t="s">
        <v>691</v>
      </c>
      <c r="D7" s="889" t="s">
        <v>646</v>
      </c>
    </row>
    <row r="8" spans="1:4" s="864" customFormat="1">
      <c r="A8" s="864" t="s">
        <v>680</v>
      </c>
      <c r="B8" s="888">
        <v>42436</v>
      </c>
      <c r="C8" s="864" t="s">
        <v>692</v>
      </c>
      <c r="D8" s="889" t="s">
        <v>647</v>
      </c>
    </row>
    <row r="9" spans="1:4" s="7" customFormat="1">
      <c r="A9" s="864" t="s">
        <v>680</v>
      </c>
      <c r="B9" s="888">
        <v>42436</v>
      </c>
      <c r="C9" s="888" t="s">
        <v>710</v>
      </c>
      <c r="D9" s="889" t="s">
        <v>698</v>
      </c>
    </row>
    <row r="10" spans="1:4" s="7" customFormat="1">
      <c r="A10" s="864" t="s">
        <v>680</v>
      </c>
      <c r="B10" s="888">
        <v>42436</v>
      </c>
      <c r="C10" s="888" t="s">
        <v>699</v>
      </c>
      <c r="D10" s="889" t="s">
        <v>661</v>
      </c>
    </row>
    <row r="11" spans="1:4" s="7" customFormat="1">
      <c r="A11" s="864" t="s">
        <v>680</v>
      </c>
      <c r="B11" s="888">
        <v>42538</v>
      </c>
      <c r="C11" s="888" t="s">
        <v>730</v>
      </c>
      <c r="D11" s="888"/>
    </row>
    <row r="12" spans="1:4" s="7" customFormat="1">
      <c r="A12" s="864" t="s">
        <v>680</v>
      </c>
      <c r="B12" s="888">
        <v>42538</v>
      </c>
      <c r="C12" s="888" t="s">
        <v>732</v>
      </c>
      <c r="D12" s="902" t="s">
        <v>734</v>
      </c>
    </row>
    <row r="13" spans="1:4" s="7" customFormat="1">
      <c r="A13" s="864" t="s">
        <v>680</v>
      </c>
      <c r="B13" s="888">
        <v>42538</v>
      </c>
      <c r="C13" s="888" t="s">
        <v>733</v>
      </c>
      <c r="D13" s="903" t="s">
        <v>735</v>
      </c>
    </row>
    <row r="14" spans="1:4" s="7" customFormat="1">
      <c r="A14" s="864" t="s">
        <v>680</v>
      </c>
      <c r="B14" s="888">
        <v>42538</v>
      </c>
      <c r="C14" s="888" t="s">
        <v>731</v>
      </c>
      <c r="D14" s="902" t="s">
        <v>736</v>
      </c>
    </row>
    <row r="15" spans="1:4" s="7" customFormat="1">
      <c r="A15" s="864" t="s">
        <v>741</v>
      </c>
      <c r="B15" s="888">
        <v>42583</v>
      </c>
      <c r="C15" s="888" t="s">
        <v>742</v>
      </c>
      <c r="D15" s="871"/>
    </row>
    <row r="16" spans="1:4" s="7" customFormat="1">
      <c r="A16" s="864" t="s">
        <v>748</v>
      </c>
      <c r="B16" s="909">
        <v>42877</v>
      </c>
      <c r="C16" s="863" t="s">
        <v>790</v>
      </c>
      <c r="D16" s="910" t="s">
        <v>677</v>
      </c>
    </row>
    <row r="17" spans="1:4" s="7" customFormat="1">
      <c r="A17" s="864" t="s">
        <v>748</v>
      </c>
      <c r="B17" s="909">
        <v>42877</v>
      </c>
      <c r="C17" s="863" t="s">
        <v>791</v>
      </c>
      <c r="D17" s="910" t="s">
        <v>746</v>
      </c>
    </row>
    <row r="18" spans="1:4" s="7" customFormat="1">
      <c r="A18" s="864" t="s">
        <v>748</v>
      </c>
      <c r="B18" s="909">
        <v>42877</v>
      </c>
      <c r="C18" s="863" t="s">
        <v>792</v>
      </c>
      <c r="D18" s="910" t="s">
        <v>747</v>
      </c>
    </row>
    <row r="19" spans="1:4" s="7" customFormat="1">
      <c r="A19" s="864" t="s">
        <v>776</v>
      </c>
      <c r="B19" s="888">
        <v>43167</v>
      </c>
      <c r="C19" s="888" t="s">
        <v>777</v>
      </c>
      <c r="D19" s="910" t="s">
        <v>778</v>
      </c>
    </row>
    <row r="20" spans="1:4" s="7" customFormat="1">
      <c r="A20" s="864" t="s">
        <v>776</v>
      </c>
      <c r="B20" s="888">
        <v>43167</v>
      </c>
      <c r="C20" s="888" t="s">
        <v>779</v>
      </c>
      <c r="D20" s="920" t="s">
        <v>780</v>
      </c>
    </row>
    <row r="21" spans="1:4">
      <c r="A21" s="864" t="s">
        <v>776</v>
      </c>
      <c r="B21" s="888">
        <v>43167</v>
      </c>
      <c r="C21" s="888" t="s">
        <v>781</v>
      </c>
      <c r="D21" s="920" t="s">
        <v>782</v>
      </c>
    </row>
    <row r="22" spans="1:4">
      <c r="A22" s="864" t="s">
        <v>776</v>
      </c>
      <c r="B22" s="888">
        <v>43167</v>
      </c>
      <c r="C22" s="888" t="s">
        <v>783</v>
      </c>
      <c r="D22" s="920" t="s">
        <v>784</v>
      </c>
    </row>
    <row r="23" spans="1:4">
      <c r="A23" s="864" t="s">
        <v>776</v>
      </c>
      <c r="B23" s="888">
        <v>43278</v>
      </c>
      <c r="C23" s="888" t="s">
        <v>811</v>
      </c>
      <c r="D23" s="910"/>
    </row>
    <row r="24" spans="1:4">
      <c r="A24" s="864" t="s">
        <v>812</v>
      </c>
      <c r="B24" s="888">
        <v>43425</v>
      </c>
      <c r="C24" s="888" t="s">
        <v>813</v>
      </c>
    </row>
    <row r="25" spans="1:4">
      <c r="A25" s="864" t="s">
        <v>859</v>
      </c>
      <c r="B25" s="888">
        <v>43573</v>
      </c>
      <c r="C25" s="888" t="s">
        <v>860</v>
      </c>
    </row>
    <row r="26" spans="1:4">
      <c r="A26" s="864" t="s">
        <v>882</v>
      </c>
      <c r="B26" s="888">
        <v>43678</v>
      </c>
      <c r="C26" s="888" t="s">
        <v>883</v>
      </c>
      <c r="D26" s="920" t="s">
        <v>884</v>
      </c>
    </row>
    <row r="27" spans="1:4">
      <c r="A27" s="1053" t="s">
        <v>888</v>
      </c>
      <c r="B27" s="1072">
        <v>43930</v>
      </c>
      <c r="C27" s="1068" t="s">
        <v>885</v>
      </c>
      <c r="D27" s="1071" t="s">
        <v>886</v>
      </c>
    </row>
    <row r="28" spans="1:4">
      <c r="A28" s="1053" t="s">
        <v>888</v>
      </c>
      <c r="B28" s="1072">
        <v>43930</v>
      </c>
      <c r="C28" s="1068" t="s">
        <v>887</v>
      </c>
      <c r="D28" s="1071" t="s">
        <v>886</v>
      </c>
    </row>
    <row r="29" spans="1:4">
      <c r="A29" s="1069" t="s">
        <v>888</v>
      </c>
      <c r="B29" s="1072">
        <v>43943</v>
      </c>
      <c r="C29" s="1068" t="s">
        <v>897</v>
      </c>
      <c r="D29" s="1070" t="s">
        <v>677</v>
      </c>
    </row>
    <row r="30" spans="1:4">
      <c r="A30" s="1069" t="s">
        <v>888</v>
      </c>
      <c r="B30" s="1072">
        <v>43943</v>
      </c>
      <c r="C30" s="1068" t="s">
        <v>898</v>
      </c>
      <c r="D30" s="1071" t="s">
        <v>746</v>
      </c>
    </row>
    <row r="31" spans="1:4">
      <c r="A31" s="1069" t="s">
        <v>888</v>
      </c>
      <c r="B31" s="1072">
        <v>43943</v>
      </c>
      <c r="C31" s="1068" t="s">
        <v>899</v>
      </c>
      <c r="D31" s="1071" t="s">
        <v>747</v>
      </c>
    </row>
    <row r="32" spans="1:4">
      <c r="A32" s="1069" t="s">
        <v>888</v>
      </c>
      <c r="B32" s="1072">
        <v>43943</v>
      </c>
      <c r="C32" s="1068" t="s">
        <v>900</v>
      </c>
      <c r="D32" s="1071" t="s">
        <v>901</v>
      </c>
    </row>
    <row r="33" spans="1:4">
      <c r="A33" s="1069" t="s">
        <v>888</v>
      </c>
      <c r="B33" s="1072">
        <v>43951</v>
      </c>
      <c r="C33" t="s">
        <v>904</v>
      </c>
      <c r="D33" s="1071" t="s">
        <v>905</v>
      </c>
    </row>
    <row r="34" spans="1:4">
      <c r="A34" s="1069" t="s">
        <v>888</v>
      </c>
      <c r="B34" s="1072">
        <v>43965</v>
      </c>
      <c r="C34" t="s">
        <v>907</v>
      </c>
      <c r="D34" s="1070" t="s">
        <v>661</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561</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131976.58392528098</v>
      </c>
      <c r="C4" s="452">
        <f>huishoudens!C8</f>
        <v>0</v>
      </c>
      <c r="D4" s="452">
        <f>huishoudens!D8</f>
        <v>317957.09534599999</v>
      </c>
      <c r="E4" s="452">
        <f>huishoudens!E8</f>
        <v>43227.29775037049</v>
      </c>
      <c r="F4" s="452">
        <f>huishoudens!F8</f>
        <v>79888.572502442854</v>
      </c>
      <c r="G4" s="452">
        <f>huishoudens!G8</f>
        <v>0</v>
      </c>
      <c r="H4" s="452">
        <f>huishoudens!H8</f>
        <v>0</v>
      </c>
      <c r="I4" s="452">
        <f>huishoudens!I8</f>
        <v>0</v>
      </c>
      <c r="J4" s="452">
        <f>huishoudens!J8</f>
        <v>0</v>
      </c>
      <c r="K4" s="452">
        <f>huishoudens!K8</f>
        <v>0</v>
      </c>
      <c r="L4" s="452">
        <f>huishoudens!L8</f>
        <v>0</v>
      </c>
      <c r="M4" s="452">
        <f>huishoudens!M8</f>
        <v>0</v>
      </c>
      <c r="N4" s="452">
        <f>huishoudens!N8</f>
        <v>30034.535343223142</v>
      </c>
      <c r="O4" s="452">
        <f>huishoudens!O8</f>
        <v>861.39666666666676</v>
      </c>
      <c r="P4" s="453">
        <f>huishoudens!P8</f>
        <v>2307.0666666666666</v>
      </c>
      <c r="Q4" s="454">
        <f>SUM(B4:P4)</f>
        <v>606252.54820065072</v>
      </c>
    </row>
    <row r="5" spans="1:17">
      <c r="A5" s="451" t="s">
        <v>155</v>
      </c>
      <c r="B5" s="452">
        <f ca="1">tertiair!B16</f>
        <v>198406.30051252278</v>
      </c>
      <c r="C5" s="452">
        <f ca="1">tertiair!C16</f>
        <v>2866.8214285714284</v>
      </c>
      <c r="D5" s="452">
        <f ca="1">tertiair!D16</f>
        <v>188387.53694485713</v>
      </c>
      <c r="E5" s="452">
        <f>tertiair!E16</f>
        <v>1711.8999050893003</v>
      </c>
      <c r="F5" s="452">
        <f ca="1">tertiair!F16</f>
        <v>28141.458509433938</v>
      </c>
      <c r="G5" s="452">
        <f>tertiair!G16</f>
        <v>0</v>
      </c>
      <c r="H5" s="452">
        <f>tertiair!H16</f>
        <v>0</v>
      </c>
      <c r="I5" s="452">
        <f>tertiair!I16</f>
        <v>0</v>
      </c>
      <c r="J5" s="452">
        <f>tertiair!J16</f>
        <v>0</v>
      </c>
      <c r="K5" s="452">
        <f>tertiair!K16</f>
        <v>0</v>
      </c>
      <c r="L5" s="452">
        <f ca="1">tertiair!L16</f>
        <v>0</v>
      </c>
      <c r="M5" s="452">
        <f>tertiair!M16</f>
        <v>0</v>
      </c>
      <c r="N5" s="452">
        <f ca="1">tertiair!N16</f>
        <v>9198.6839059161957</v>
      </c>
      <c r="O5" s="452">
        <f>tertiair!O16</f>
        <v>9.3800000000000008</v>
      </c>
      <c r="P5" s="453">
        <f>tertiair!P16</f>
        <v>152.53333333333333</v>
      </c>
      <c r="Q5" s="451">
        <f t="shared" ref="Q5:Q14" ca="1" si="0">SUM(B5:P5)</f>
        <v>428874.61453972408</v>
      </c>
    </row>
    <row r="6" spans="1:17">
      <c r="A6" s="451" t="s">
        <v>193</v>
      </c>
      <c r="B6" s="452">
        <f>'openbare verlichting'!B8</f>
        <v>5102.21</v>
      </c>
      <c r="C6" s="452"/>
      <c r="D6" s="452"/>
      <c r="E6" s="452"/>
      <c r="F6" s="452"/>
      <c r="G6" s="452"/>
      <c r="H6" s="452"/>
      <c r="I6" s="452"/>
      <c r="J6" s="452"/>
      <c r="K6" s="452"/>
      <c r="L6" s="452"/>
      <c r="M6" s="452"/>
      <c r="N6" s="452"/>
      <c r="O6" s="452"/>
      <c r="P6" s="453"/>
      <c r="Q6" s="451">
        <f t="shared" si="0"/>
        <v>5102.21</v>
      </c>
    </row>
    <row r="7" spans="1:17">
      <c r="A7" s="451" t="s">
        <v>111</v>
      </c>
      <c r="B7" s="452">
        <f>landbouw!B8</f>
        <v>1979.6890000000001</v>
      </c>
      <c r="C7" s="452">
        <f>landbouw!C8</f>
        <v>0</v>
      </c>
      <c r="D7" s="452">
        <f>landbouw!D8</f>
        <v>2458.082594</v>
      </c>
      <c r="E7" s="452">
        <f>landbouw!E8</f>
        <v>18.336708687972099</v>
      </c>
      <c r="F7" s="452">
        <f>landbouw!F8</f>
        <v>5022.848123367482</v>
      </c>
      <c r="G7" s="452">
        <f>landbouw!G8</f>
        <v>0</v>
      </c>
      <c r="H7" s="452">
        <f>landbouw!H8</f>
        <v>0</v>
      </c>
      <c r="I7" s="452">
        <f>landbouw!I8</f>
        <v>0</v>
      </c>
      <c r="J7" s="452">
        <f>landbouw!J8</f>
        <v>303.50841709372173</v>
      </c>
      <c r="K7" s="452">
        <f>landbouw!K8</f>
        <v>0</v>
      </c>
      <c r="L7" s="452">
        <f>landbouw!L8</f>
        <v>0</v>
      </c>
      <c r="M7" s="452">
        <f>landbouw!M8</f>
        <v>0</v>
      </c>
      <c r="N7" s="452">
        <f>landbouw!N8</f>
        <v>0</v>
      </c>
      <c r="O7" s="452">
        <f>landbouw!O8</f>
        <v>0</v>
      </c>
      <c r="P7" s="453">
        <f>landbouw!P8</f>
        <v>0</v>
      </c>
      <c r="Q7" s="451">
        <f t="shared" si="0"/>
        <v>9782.4648431491769</v>
      </c>
    </row>
    <row r="8" spans="1:17">
      <c r="A8" s="451" t="s">
        <v>651</v>
      </c>
      <c r="B8" s="452">
        <f>industrie!B18</f>
        <v>63813.931999999993</v>
      </c>
      <c r="C8" s="452">
        <f>industrie!C18</f>
        <v>321.42857142857144</v>
      </c>
      <c r="D8" s="452">
        <f>industrie!D18</f>
        <v>70353.06495314285</v>
      </c>
      <c r="E8" s="452">
        <f>industrie!E18</f>
        <v>8921.1952156610514</v>
      </c>
      <c r="F8" s="452">
        <f>industrie!F18</f>
        <v>47296.872827876585</v>
      </c>
      <c r="G8" s="452">
        <f>industrie!G18</f>
        <v>0</v>
      </c>
      <c r="H8" s="452">
        <f>industrie!H18</f>
        <v>0</v>
      </c>
      <c r="I8" s="452">
        <f>industrie!I18</f>
        <v>0</v>
      </c>
      <c r="J8" s="452">
        <f>industrie!J18</f>
        <v>280.43164003758278</v>
      </c>
      <c r="K8" s="452">
        <f>industrie!K18</f>
        <v>0</v>
      </c>
      <c r="L8" s="452">
        <f>industrie!L18</f>
        <v>0</v>
      </c>
      <c r="M8" s="452">
        <f>industrie!M18</f>
        <v>0</v>
      </c>
      <c r="N8" s="452">
        <f>industrie!N18</f>
        <v>8738.670508647614</v>
      </c>
      <c r="O8" s="452">
        <f>industrie!O18</f>
        <v>0</v>
      </c>
      <c r="P8" s="453">
        <f>industrie!P18</f>
        <v>0</v>
      </c>
      <c r="Q8" s="451">
        <f t="shared" si="0"/>
        <v>199725.59571679425</v>
      </c>
    </row>
    <row r="9" spans="1:17" s="457" customFormat="1">
      <c r="A9" s="455" t="s">
        <v>572</v>
      </c>
      <c r="B9" s="456">
        <f>transport!B14</f>
        <v>76.072204234692293</v>
      </c>
      <c r="C9" s="456">
        <f>transport!C14</f>
        <v>0</v>
      </c>
      <c r="D9" s="456">
        <f>transport!D14</f>
        <v>147.13953053107372</v>
      </c>
      <c r="E9" s="456">
        <f>transport!E14</f>
        <v>1510.2559372832013</v>
      </c>
      <c r="F9" s="456">
        <f>transport!F14</f>
        <v>0</v>
      </c>
      <c r="G9" s="456">
        <f>transport!G14</f>
        <v>462354.22256914346</v>
      </c>
      <c r="H9" s="456">
        <f>transport!H14</f>
        <v>90613.163647852722</v>
      </c>
      <c r="I9" s="456">
        <f>transport!I14</f>
        <v>0</v>
      </c>
      <c r="J9" s="456">
        <f>transport!J14</f>
        <v>0</v>
      </c>
      <c r="K9" s="456">
        <f>transport!K14</f>
        <v>0</v>
      </c>
      <c r="L9" s="456">
        <f>transport!L14</f>
        <v>0</v>
      </c>
      <c r="M9" s="456">
        <f>transport!M14</f>
        <v>29569.941995869351</v>
      </c>
      <c r="N9" s="456">
        <f>transport!N14</f>
        <v>0</v>
      </c>
      <c r="O9" s="456">
        <f>transport!O14</f>
        <v>0</v>
      </c>
      <c r="P9" s="456">
        <f>transport!P14</f>
        <v>0</v>
      </c>
      <c r="Q9" s="455">
        <f>SUM(B9:P9)</f>
        <v>584270.79588491446</v>
      </c>
    </row>
    <row r="10" spans="1:17">
      <c r="A10" s="451" t="s">
        <v>562</v>
      </c>
      <c r="B10" s="452">
        <f>transport!B54</f>
        <v>0</v>
      </c>
      <c r="C10" s="452">
        <f>transport!C54</f>
        <v>0</v>
      </c>
      <c r="D10" s="452">
        <f>transport!D54</f>
        <v>0</v>
      </c>
      <c r="E10" s="452">
        <f>transport!E54</f>
        <v>0</v>
      </c>
      <c r="F10" s="452">
        <f>transport!F54</f>
        <v>0</v>
      </c>
      <c r="G10" s="452">
        <f>transport!G54</f>
        <v>17062.024060294389</v>
      </c>
      <c r="H10" s="452">
        <f>transport!H54</f>
        <v>0</v>
      </c>
      <c r="I10" s="452">
        <f>transport!I54</f>
        <v>0</v>
      </c>
      <c r="J10" s="452">
        <f>transport!J54</f>
        <v>0</v>
      </c>
      <c r="K10" s="452">
        <f>transport!K54</f>
        <v>0</v>
      </c>
      <c r="L10" s="452">
        <f>transport!L54</f>
        <v>0</v>
      </c>
      <c r="M10" s="452">
        <f>transport!M54</f>
        <v>975.21336346918702</v>
      </c>
      <c r="N10" s="452">
        <f>transport!N54</f>
        <v>0</v>
      </c>
      <c r="O10" s="452">
        <f>transport!O54</f>
        <v>0</v>
      </c>
      <c r="P10" s="453">
        <f>transport!P54</f>
        <v>0</v>
      </c>
      <c r="Q10" s="451">
        <f t="shared" si="0"/>
        <v>18037.237423763574</v>
      </c>
    </row>
    <row r="11" spans="1:17">
      <c r="A11" s="451" t="s">
        <v>563</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564</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565</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855</v>
      </c>
      <c r="B14" s="459">
        <f>'SEAP template'!C25</f>
        <v>5703.4170000000004</v>
      </c>
      <c r="C14" s="459"/>
      <c r="D14" s="459">
        <f>'SEAP template'!E25</f>
        <v>18298.882000000001</v>
      </c>
      <c r="E14" s="459"/>
      <c r="F14" s="459"/>
      <c r="G14" s="459"/>
      <c r="H14" s="459"/>
      <c r="I14" s="459"/>
      <c r="J14" s="459"/>
      <c r="K14" s="459"/>
      <c r="L14" s="459"/>
      <c r="M14" s="459"/>
      <c r="N14" s="459"/>
      <c r="O14" s="459"/>
      <c r="P14" s="460"/>
      <c r="Q14" s="451">
        <f t="shared" si="0"/>
        <v>24002.299000000003</v>
      </c>
    </row>
    <row r="15" spans="1:17" s="461" customFormat="1">
      <c r="A15" s="1017" t="s">
        <v>566</v>
      </c>
      <c r="B15" s="957">
        <f ca="1">SUM(B4:B14)</f>
        <v>407058.2046420385</v>
      </c>
      <c r="C15" s="957">
        <f t="shared" ref="C15:Q15" ca="1" si="1">SUM(C4:C14)</f>
        <v>3188.25</v>
      </c>
      <c r="D15" s="957">
        <f t="shared" ca="1" si="1"/>
        <v>597601.80136853107</v>
      </c>
      <c r="E15" s="957">
        <f t="shared" si="1"/>
        <v>55388.98551709202</v>
      </c>
      <c r="F15" s="957">
        <f t="shared" ca="1" si="1"/>
        <v>160349.75196312086</v>
      </c>
      <c r="G15" s="957">
        <f t="shared" si="1"/>
        <v>479416.24662943784</v>
      </c>
      <c r="H15" s="957">
        <f t="shared" si="1"/>
        <v>90613.163647852722</v>
      </c>
      <c r="I15" s="957">
        <f t="shared" si="1"/>
        <v>0</v>
      </c>
      <c r="J15" s="957">
        <f t="shared" si="1"/>
        <v>583.94005713130446</v>
      </c>
      <c r="K15" s="957">
        <f t="shared" si="1"/>
        <v>0</v>
      </c>
      <c r="L15" s="957">
        <f t="shared" ca="1" si="1"/>
        <v>0</v>
      </c>
      <c r="M15" s="957">
        <f t="shared" si="1"/>
        <v>30545.155359338536</v>
      </c>
      <c r="N15" s="957">
        <f t="shared" ca="1" si="1"/>
        <v>47971.88975778695</v>
      </c>
      <c r="O15" s="957">
        <f t="shared" si="1"/>
        <v>870.77666666666676</v>
      </c>
      <c r="P15" s="957">
        <f t="shared" si="1"/>
        <v>2459.6</v>
      </c>
      <c r="Q15" s="957">
        <f t="shared" ca="1" si="1"/>
        <v>1876047.7656089964</v>
      </c>
    </row>
    <row r="17" spans="1:17">
      <c r="A17" s="462" t="s">
        <v>567</v>
      </c>
      <c r="B17" s="761">
        <f ca="1">huishoudens!B10</f>
        <v>0.19924846922864553</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569</v>
      </c>
      <c r="B19" s="1169" t="s">
        <v>568</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26296.132321138102</v>
      </c>
      <c r="C22" s="452">
        <f t="shared" ref="C22:C32" ca="1" si="3">C4*$C$17</f>
        <v>0</v>
      </c>
      <c r="D22" s="452">
        <f t="shared" ref="D22:D32" si="4">D4*$D$17</f>
        <v>64227.333259892002</v>
      </c>
      <c r="E22" s="452">
        <f t="shared" ref="E22:E32" si="5">E4*$E$17</f>
        <v>9812.5965893341017</v>
      </c>
      <c r="F22" s="452">
        <f t="shared" ref="F22:F32" si="6">F4*$F$17</f>
        <v>21330.248858152245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121666.31102851646</v>
      </c>
    </row>
    <row r="23" spans="1:17">
      <c r="A23" s="451" t="s">
        <v>155</v>
      </c>
      <c r="B23" s="452">
        <f t="shared" ca="1" si="2"/>
        <v>39532.151662438795</v>
      </c>
      <c r="C23" s="452">
        <f t="shared" ca="1" si="3"/>
        <v>681.29168067226897</v>
      </c>
      <c r="D23" s="452">
        <f t="shared" ca="1" si="4"/>
        <v>38054.282462861142</v>
      </c>
      <c r="E23" s="452">
        <f t="shared" si="5"/>
        <v>388.6012784552712</v>
      </c>
      <c r="F23" s="452">
        <f t="shared" ca="1" si="6"/>
        <v>7513.7694220188623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86170.096506446338</v>
      </c>
    </row>
    <row r="24" spans="1:17">
      <c r="A24" s="451" t="s">
        <v>193</v>
      </c>
      <c r="B24" s="452">
        <f t="shared" ca="1" si="2"/>
        <v>1016.6075321830875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1016.6075321830875</v>
      </c>
    </row>
    <row r="25" spans="1:17">
      <c r="A25" s="451" t="s">
        <v>111</v>
      </c>
      <c r="B25" s="452">
        <f t="shared" ca="1" si="2"/>
        <v>394.45000279878803</v>
      </c>
      <c r="C25" s="452">
        <f t="shared" ca="1" si="3"/>
        <v>0</v>
      </c>
      <c r="D25" s="452">
        <f t="shared" si="4"/>
        <v>496.53268398800003</v>
      </c>
      <c r="E25" s="452">
        <f t="shared" si="5"/>
        <v>4.1624328721696662</v>
      </c>
      <c r="F25" s="452">
        <f t="shared" si="6"/>
        <v>1341.1004489391178</v>
      </c>
      <c r="G25" s="452">
        <f t="shared" si="7"/>
        <v>0</v>
      </c>
      <c r="H25" s="452">
        <f t="shared" si="8"/>
        <v>0</v>
      </c>
      <c r="I25" s="452">
        <f t="shared" si="9"/>
        <v>0</v>
      </c>
      <c r="J25" s="452">
        <f t="shared" si="10"/>
        <v>107.44197965117749</v>
      </c>
      <c r="K25" s="452">
        <f t="shared" si="11"/>
        <v>0</v>
      </c>
      <c r="L25" s="452">
        <f t="shared" si="12"/>
        <v>0</v>
      </c>
      <c r="M25" s="452">
        <f t="shared" si="13"/>
        <v>0</v>
      </c>
      <c r="N25" s="452">
        <f t="shared" si="14"/>
        <v>0</v>
      </c>
      <c r="O25" s="452">
        <f t="shared" si="15"/>
        <v>0</v>
      </c>
      <c r="P25" s="453">
        <f t="shared" si="16"/>
        <v>0</v>
      </c>
      <c r="Q25" s="451">
        <f t="shared" ca="1" si="17"/>
        <v>2343.6875482492528</v>
      </c>
    </row>
    <row r="26" spans="1:17">
      <c r="A26" s="451" t="s">
        <v>651</v>
      </c>
      <c r="B26" s="452">
        <f t="shared" ca="1" si="2"/>
        <v>12714.828266460878</v>
      </c>
      <c r="C26" s="452">
        <f t="shared" ca="1" si="3"/>
        <v>76.386554621848759</v>
      </c>
      <c r="D26" s="452">
        <f t="shared" si="4"/>
        <v>14211.319120534856</v>
      </c>
      <c r="E26" s="452">
        <f t="shared" si="5"/>
        <v>2025.1113139550587</v>
      </c>
      <c r="F26" s="452">
        <f t="shared" si="6"/>
        <v>12628.265045043048</v>
      </c>
      <c r="G26" s="452">
        <f t="shared" si="7"/>
        <v>0</v>
      </c>
      <c r="H26" s="452">
        <f t="shared" si="8"/>
        <v>0</v>
      </c>
      <c r="I26" s="452">
        <f t="shared" si="9"/>
        <v>0</v>
      </c>
      <c r="J26" s="452">
        <f t="shared" si="10"/>
        <v>99.272800573304295</v>
      </c>
      <c r="K26" s="452">
        <f t="shared" si="11"/>
        <v>0</v>
      </c>
      <c r="L26" s="452">
        <f t="shared" si="12"/>
        <v>0</v>
      </c>
      <c r="M26" s="452">
        <f t="shared" si="13"/>
        <v>0</v>
      </c>
      <c r="N26" s="452">
        <f t="shared" si="14"/>
        <v>0</v>
      </c>
      <c r="O26" s="452">
        <f t="shared" si="15"/>
        <v>0</v>
      </c>
      <c r="P26" s="453">
        <f t="shared" si="16"/>
        <v>0</v>
      </c>
      <c r="Q26" s="451">
        <f t="shared" ca="1" si="17"/>
        <v>41755.183101189003</v>
      </c>
    </row>
    <row r="27" spans="1:17" s="457" customFormat="1">
      <c r="A27" s="455" t="s">
        <v>572</v>
      </c>
      <c r="B27" s="755">
        <f t="shared" ca="1" si="2"/>
        <v>15.157270244611325</v>
      </c>
      <c r="C27" s="456">
        <f t="shared" ca="1" si="3"/>
        <v>0</v>
      </c>
      <c r="D27" s="456">
        <f t="shared" si="4"/>
        <v>29.722185167276894</v>
      </c>
      <c r="E27" s="456">
        <f t="shared" si="5"/>
        <v>342.82809776328673</v>
      </c>
      <c r="F27" s="456">
        <f t="shared" si="6"/>
        <v>0</v>
      </c>
      <c r="G27" s="456">
        <f t="shared" si="7"/>
        <v>123448.57742596131</v>
      </c>
      <c r="H27" s="456">
        <f t="shared" si="8"/>
        <v>22562.677748315327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146398.96272745181</v>
      </c>
    </row>
    <row r="28" spans="1:17">
      <c r="A28" s="451" t="s">
        <v>562</v>
      </c>
      <c r="B28" s="452">
        <f t="shared" ca="1" si="2"/>
        <v>0</v>
      </c>
      <c r="C28" s="452">
        <f t="shared" ca="1" si="3"/>
        <v>0</v>
      </c>
      <c r="D28" s="452">
        <f t="shared" si="4"/>
        <v>0</v>
      </c>
      <c r="E28" s="452">
        <f t="shared" si="5"/>
        <v>0</v>
      </c>
      <c r="F28" s="452">
        <f t="shared" si="6"/>
        <v>0</v>
      </c>
      <c r="G28" s="452">
        <f t="shared" si="7"/>
        <v>4555.5604240986022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4555.5604240986022</v>
      </c>
    </row>
    <row r="29" spans="1:17">
      <c r="A29" s="451" t="s">
        <v>563</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564</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565</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855</v>
      </c>
      <c r="B32" s="452">
        <f t="shared" ca="1" si="2"/>
        <v>1136.3971066226338</v>
      </c>
      <c r="C32" s="452">
        <f t="shared" ca="1" si="3"/>
        <v>0</v>
      </c>
      <c r="D32" s="452">
        <f t="shared" si="4"/>
        <v>3696.3741640000007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4832.7712706226348</v>
      </c>
    </row>
    <row r="33" spans="1:17" s="461" customFormat="1">
      <c r="A33" s="1017" t="s">
        <v>566</v>
      </c>
      <c r="B33" s="957">
        <f ca="1">SUM(B22:B32)</f>
        <v>81105.724161886901</v>
      </c>
      <c r="C33" s="957">
        <f t="shared" ref="C33:Q33" ca="1" si="18">SUM(C22:C32)</f>
        <v>757.67823529411771</v>
      </c>
      <c r="D33" s="957">
        <f t="shared" ca="1" si="18"/>
        <v>120715.56387644328</v>
      </c>
      <c r="E33" s="957">
        <f t="shared" si="18"/>
        <v>12573.299712379889</v>
      </c>
      <c r="F33" s="957">
        <f t="shared" ca="1" si="18"/>
        <v>42813.38377415327</v>
      </c>
      <c r="G33" s="957">
        <f t="shared" si="18"/>
        <v>128004.13785005991</v>
      </c>
      <c r="H33" s="957">
        <f t="shared" si="18"/>
        <v>22562.677748315327</v>
      </c>
      <c r="I33" s="957">
        <f t="shared" si="18"/>
        <v>0</v>
      </c>
      <c r="J33" s="957">
        <f t="shared" si="18"/>
        <v>206.71478022448179</v>
      </c>
      <c r="K33" s="957">
        <f t="shared" si="18"/>
        <v>0</v>
      </c>
      <c r="L33" s="957">
        <f t="shared" ca="1" si="18"/>
        <v>0</v>
      </c>
      <c r="M33" s="957">
        <f t="shared" si="18"/>
        <v>0</v>
      </c>
      <c r="N33" s="957">
        <f t="shared" ca="1" si="18"/>
        <v>0</v>
      </c>
      <c r="O33" s="957">
        <f t="shared" si="18"/>
        <v>0</v>
      </c>
      <c r="P33" s="957">
        <f t="shared" si="18"/>
        <v>0</v>
      </c>
      <c r="Q33" s="957">
        <f t="shared" ca="1" si="18"/>
        <v>408739.18013875722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561</v>
      </c>
      <c r="B1" s="1178" t="s">
        <v>814</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815</v>
      </c>
      <c r="C4" s="928" t="s">
        <v>816</v>
      </c>
      <c r="D4" s="929" t="s">
        <v>817</v>
      </c>
      <c r="E4" s="930" t="s">
        <v>818</v>
      </c>
      <c r="F4" s="930" t="s">
        <v>819</v>
      </c>
      <c r="G4" s="931" t="s">
        <v>822</v>
      </c>
      <c r="H4" s="931" t="s">
        <v>822</v>
      </c>
      <c r="I4" s="931" t="s">
        <v>822</v>
      </c>
      <c r="J4" s="930" t="s">
        <v>821</v>
      </c>
      <c r="K4" s="931" t="s">
        <v>822</v>
      </c>
      <c r="L4" s="931" t="s">
        <v>822</v>
      </c>
      <c r="M4" s="931" t="s">
        <v>822</v>
      </c>
      <c r="N4" s="930" t="s">
        <v>823</v>
      </c>
      <c r="O4" s="932" t="s">
        <v>824</v>
      </c>
      <c r="P4" s="933" t="s">
        <v>825</v>
      </c>
      <c r="Q4" s="934"/>
    </row>
    <row r="5" spans="1:17" ht="124.35" customHeight="1">
      <c r="A5" s="935" t="s">
        <v>155</v>
      </c>
      <c r="B5" s="936" t="s">
        <v>826</v>
      </c>
      <c r="C5" s="937" t="s">
        <v>827</v>
      </c>
      <c r="D5" s="937" t="s">
        <v>828</v>
      </c>
      <c r="E5" s="938" t="s">
        <v>829</v>
      </c>
      <c r="F5" s="938" t="s">
        <v>830</v>
      </c>
      <c r="G5" s="939" t="s">
        <v>822</v>
      </c>
      <c r="H5" s="939" t="s">
        <v>822</v>
      </c>
      <c r="I5" s="939" t="s">
        <v>822</v>
      </c>
      <c r="J5" s="938" t="s">
        <v>831</v>
      </c>
      <c r="K5" s="936" t="s">
        <v>832</v>
      </c>
      <c r="L5" s="939" t="s">
        <v>822</v>
      </c>
      <c r="M5" s="939" t="s">
        <v>822</v>
      </c>
      <c r="N5" s="938" t="s">
        <v>833</v>
      </c>
      <c r="O5" s="940" t="s">
        <v>824</v>
      </c>
      <c r="P5" s="941" t="s">
        <v>825</v>
      </c>
      <c r="Q5" s="942"/>
    </row>
    <row r="6" spans="1:17" ht="124.35" customHeight="1">
      <c r="A6" s="935" t="s">
        <v>193</v>
      </c>
      <c r="B6" s="943" t="s">
        <v>834</v>
      </c>
      <c r="C6" s="944" t="s">
        <v>820</v>
      </c>
      <c r="D6" s="939" t="s">
        <v>820</v>
      </c>
      <c r="E6" s="939" t="s">
        <v>820</v>
      </c>
      <c r="F6" s="939" t="s">
        <v>820</v>
      </c>
      <c r="G6" s="939" t="s">
        <v>820</v>
      </c>
      <c r="H6" s="939" t="s">
        <v>820</v>
      </c>
      <c r="I6" s="939" t="s">
        <v>820</v>
      </c>
      <c r="J6" s="939" t="s">
        <v>820</v>
      </c>
      <c r="K6" s="939" t="s">
        <v>820</v>
      </c>
      <c r="L6" s="939" t="s">
        <v>820</v>
      </c>
      <c r="M6" s="939" t="s">
        <v>820</v>
      </c>
      <c r="N6" s="939" t="s">
        <v>820</v>
      </c>
      <c r="O6" s="945" t="s">
        <v>820</v>
      </c>
      <c r="P6" s="946" t="s">
        <v>820</v>
      </c>
      <c r="Q6" s="947"/>
    </row>
    <row r="7" spans="1:17" ht="124.35" customHeight="1">
      <c r="A7" s="935" t="s">
        <v>111</v>
      </c>
      <c r="B7" s="943" t="s">
        <v>834</v>
      </c>
      <c r="C7" s="937" t="s">
        <v>827</v>
      </c>
      <c r="D7" s="937" t="s">
        <v>828</v>
      </c>
      <c r="E7" s="938" t="s">
        <v>829</v>
      </c>
      <c r="F7" s="938" t="s">
        <v>830</v>
      </c>
      <c r="G7" s="939" t="s">
        <v>822</v>
      </c>
      <c r="H7" s="939" t="s">
        <v>822</v>
      </c>
      <c r="I7" s="939" t="s">
        <v>822</v>
      </c>
      <c r="J7" s="938" t="s">
        <v>831</v>
      </c>
      <c r="K7" s="939" t="s">
        <v>822</v>
      </c>
      <c r="L7" s="939" t="s">
        <v>822</v>
      </c>
      <c r="M7" s="939" t="s">
        <v>822</v>
      </c>
      <c r="N7" s="948" t="s">
        <v>822</v>
      </c>
      <c r="O7" s="944" t="s">
        <v>822</v>
      </c>
      <c r="P7" s="949" t="s">
        <v>822</v>
      </c>
      <c r="Q7" s="942"/>
    </row>
    <row r="8" spans="1:17" ht="124.35" customHeight="1">
      <c r="A8" s="935" t="s">
        <v>651</v>
      </c>
      <c r="B8" s="936" t="s">
        <v>835</v>
      </c>
      <c r="C8" s="937" t="s">
        <v>827</v>
      </c>
      <c r="D8" s="937" t="s">
        <v>828</v>
      </c>
      <c r="E8" s="938" t="s">
        <v>829</v>
      </c>
      <c r="F8" s="938" t="s">
        <v>830</v>
      </c>
      <c r="G8" s="939" t="s">
        <v>822</v>
      </c>
      <c r="H8" s="939" t="s">
        <v>822</v>
      </c>
      <c r="I8" s="939" t="s">
        <v>822</v>
      </c>
      <c r="J8" s="938" t="s">
        <v>831</v>
      </c>
      <c r="K8" s="936" t="s">
        <v>832</v>
      </c>
      <c r="L8" s="939" t="s">
        <v>822</v>
      </c>
      <c r="M8" s="939" t="s">
        <v>822</v>
      </c>
      <c r="N8" s="938" t="s">
        <v>833</v>
      </c>
      <c r="O8" s="940" t="s">
        <v>824</v>
      </c>
      <c r="P8" s="941" t="s">
        <v>825</v>
      </c>
      <c r="Q8" s="942"/>
    </row>
    <row r="9" spans="1:17" s="457" customFormat="1" ht="124.35" customHeight="1">
      <c r="A9" s="950" t="s">
        <v>572</v>
      </c>
      <c r="B9" s="938" t="s">
        <v>836</v>
      </c>
      <c r="C9" s="945" t="s">
        <v>820</v>
      </c>
      <c r="D9" s="938" t="s">
        <v>837</v>
      </c>
      <c r="E9" s="938" t="s">
        <v>838</v>
      </c>
      <c r="F9" s="939" t="s">
        <v>820</v>
      </c>
      <c r="G9" s="938" t="s">
        <v>839</v>
      </c>
      <c r="H9" s="938" t="s">
        <v>840</v>
      </c>
      <c r="I9" s="939" t="s">
        <v>820</v>
      </c>
      <c r="J9" s="939" t="s">
        <v>820</v>
      </c>
      <c r="K9" s="939" t="s">
        <v>820</v>
      </c>
      <c r="L9" s="939" t="s">
        <v>820</v>
      </c>
      <c r="M9" s="938" t="s">
        <v>836</v>
      </c>
      <c r="N9" s="939" t="s">
        <v>820</v>
      </c>
      <c r="O9" s="939" t="s">
        <v>820</v>
      </c>
      <c r="P9" s="951" t="s">
        <v>820</v>
      </c>
      <c r="Q9" s="952"/>
    </row>
    <row r="10" spans="1:17" ht="124.35" customHeight="1">
      <c r="A10" s="935" t="s">
        <v>562</v>
      </c>
      <c r="B10" s="936" t="s">
        <v>848</v>
      </c>
      <c r="C10" s="945" t="s">
        <v>820</v>
      </c>
      <c r="D10" s="945" t="s">
        <v>820</v>
      </c>
      <c r="E10" s="945" t="s">
        <v>820</v>
      </c>
      <c r="F10" s="939" t="s">
        <v>820</v>
      </c>
      <c r="G10" s="936" t="s">
        <v>841</v>
      </c>
      <c r="H10" s="939" t="s">
        <v>820</v>
      </c>
      <c r="I10" s="939" t="s">
        <v>820</v>
      </c>
      <c r="J10" s="939" t="s">
        <v>820</v>
      </c>
      <c r="K10" s="939" t="s">
        <v>820</v>
      </c>
      <c r="L10" s="939" t="s">
        <v>820</v>
      </c>
      <c r="M10" s="936" t="s">
        <v>842</v>
      </c>
      <c r="N10" s="939" t="s">
        <v>820</v>
      </c>
      <c r="O10" s="939" t="s">
        <v>820</v>
      </c>
      <c r="P10" s="951" t="s">
        <v>820</v>
      </c>
      <c r="Q10" s="942"/>
    </row>
    <row r="11" spans="1:17" ht="21">
      <c r="A11" s="935" t="s">
        <v>563</v>
      </c>
      <c r="B11" s="953" t="s">
        <v>843</v>
      </c>
      <c r="C11" s="953" t="s">
        <v>843</v>
      </c>
      <c r="D11" s="953" t="s">
        <v>843</v>
      </c>
      <c r="E11" s="953" t="s">
        <v>843</v>
      </c>
      <c r="F11" s="953" t="s">
        <v>843</v>
      </c>
      <c r="G11" s="953" t="s">
        <v>843</v>
      </c>
      <c r="H11" s="953" t="s">
        <v>843</v>
      </c>
      <c r="I11" s="953" t="s">
        <v>843</v>
      </c>
      <c r="J11" s="953" t="s">
        <v>843</v>
      </c>
      <c r="K11" s="953" t="s">
        <v>843</v>
      </c>
      <c r="L11" s="953" t="s">
        <v>843</v>
      </c>
      <c r="M11" s="953" t="s">
        <v>843</v>
      </c>
      <c r="N11" s="953" t="s">
        <v>843</v>
      </c>
      <c r="O11" s="953" t="s">
        <v>843</v>
      </c>
      <c r="P11" s="969" t="s">
        <v>843</v>
      </c>
      <c r="Q11" s="970"/>
    </row>
    <row r="12" spans="1:17" ht="21">
      <c r="A12" s="935" t="s">
        <v>564</v>
      </c>
      <c r="B12" s="953" t="s">
        <v>843</v>
      </c>
      <c r="C12" s="953" t="s">
        <v>820</v>
      </c>
      <c r="D12" s="953" t="s">
        <v>820</v>
      </c>
      <c r="E12" s="953" t="s">
        <v>820</v>
      </c>
      <c r="F12" s="953" t="s">
        <v>820</v>
      </c>
      <c r="G12" s="953" t="s">
        <v>820</v>
      </c>
      <c r="H12" s="953" t="s">
        <v>820</v>
      </c>
      <c r="I12" s="953" t="s">
        <v>820</v>
      </c>
      <c r="J12" s="953" t="s">
        <v>820</v>
      </c>
      <c r="K12" s="953" t="s">
        <v>820</v>
      </c>
      <c r="L12" s="953" t="s">
        <v>820</v>
      </c>
      <c r="M12" s="953" t="s">
        <v>820</v>
      </c>
      <c r="N12" s="953" t="s">
        <v>820</v>
      </c>
      <c r="O12" s="953" t="s">
        <v>820</v>
      </c>
      <c r="P12" s="954" t="s">
        <v>820</v>
      </c>
      <c r="Q12" s="453"/>
    </row>
    <row r="13" spans="1:17" ht="21">
      <c r="A13" s="935" t="s">
        <v>565</v>
      </c>
      <c r="B13" s="953" t="s">
        <v>843</v>
      </c>
      <c r="C13" s="953" t="s">
        <v>820</v>
      </c>
      <c r="D13" s="953" t="s">
        <v>843</v>
      </c>
      <c r="E13" s="953" t="s">
        <v>843</v>
      </c>
      <c r="F13" s="953" t="s">
        <v>820</v>
      </c>
      <c r="G13" s="953" t="s">
        <v>843</v>
      </c>
      <c r="H13" s="953" t="s">
        <v>843</v>
      </c>
      <c r="I13" s="953" t="s">
        <v>820</v>
      </c>
      <c r="J13" s="953" t="s">
        <v>820</v>
      </c>
      <c r="K13" s="953" t="s">
        <v>820</v>
      </c>
      <c r="L13" s="953" t="s">
        <v>820</v>
      </c>
      <c r="M13" s="953" t="s">
        <v>843</v>
      </c>
      <c r="N13" s="953" t="s">
        <v>820</v>
      </c>
      <c r="O13" s="953" t="s">
        <v>820</v>
      </c>
      <c r="P13" s="954" t="s">
        <v>820</v>
      </c>
      <c r="Q13" s="453"/>
    </row>
    <row r="14" spans="1:17" ht="30">
      <c r="A14" s="955" t="s">
        <v>855</v>
      </c>
      <c r="B14" s="943" t="s">
        <v>834</v>
      </c>
      <c r="C14" s="953" t="s">
        <v>820</v>
      </c>
      <c r="D14" s="943" t="s">
        <v>834</v>
      </c>
      <c r="E14" s="953" t="s">
        <v>820</v>
      </c>
      <c r="F14" s="953" t="s">
        <v>820</v>
      </c>
      <c r="G14" s="953" t="s">
        <v>820</v>
      </c>
      <c r="H14" s="953" t="s">
        <v>820</v>
      </c>
      <c r="I14" s="953" t="s">
        <v>820</v>
      </c>
      <c r="J14" s="953" t="s">
        <v>820</v>
      </c>
      <c r="K14" s="953" t="s">
        <v>820</v>
      </c>
      <c r="L14" s="953" t="s">
        <v>820</v>
      </c>
      <c r="M14" s="953" t="s">
        <v>820</v>
      </c>
      <c r="N14" s="953" t="s">
        <v>820</v>
      </c>
      <c r="O14" s="953" t="s">
        <v>820</v>
      </c>
      <c r="P14" s="969" t="s">
        <v>820</v>
      </c>
      <c r="Q14" s="1018"/>
    </row>
    <row r="15" spans="1:17" s="461" customFormat="1" ht="21">
      <c r="A15" s="956" t="s">
        <v>566</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844</v>
      </c>
      <c r="B18" s="966" t="s">
        <v>845</v>
      </c>
      <c r="C18" s="967" t="s">
        <v>846</v>
      </c>
      <c r="D18" s="968" t="s">
        <v>847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861</v>
      </c>
    </row>
    <row r="2" spans="1:16" ht="60">
      <c r="A2" s="1186"/>
      <c r="B2" s="1187"/>
      <c r="C2" s="1187"/>
      <c r="D2" s="1188" t="s">
        <v>196</v>
      </c>
      <c r="E2" s="1188"/>
      <c r="F2" s="1188"/>
      <c r="G2" s="1188"/>
      <c r="H2" s="1188"/>
      <c r="I2" s="1032" t="s">
        <v>862</v>
      </c>
      <c r="J2" s="1032" t="s">
        <v>233</v>
      </c>
      <c r="K2" s="1032" t="s">
        <v>863</v>
      </c>
      <c r="L2" s="1032" t="s">
        <v>854</v>
      </c>
      <c r="M2" s="1032" t="s">
        <v>244</v>
      </c>
      <c r="N2" s="1032" t="s">
        <v>864</v>
      </c>
      <c r="O2" s="1032" t="s">
        <v>126</v>
      </c>
      <c r="P2" s="1187"/>
    </row>
    <row r="3" spans="1:16" ht="30">
      <c r="A3" s="1186"/>
      <c r="B3" s="1032" t="s">
        <v>865</v>
      </c>
      <c r="C3" s="1032" t="s">
        <v>866</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15066.689400527019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23927.899077796494</v>
      </c>
      <c r="C6" s="1034"/>
      <c r="D6" s="1034"/>
      <c r="E6" s="1034"/>
      <c r="F6" s="1034"/>
      <c r="G6" s="1034"/>
      <c r="H6" s="1034"/>
      <c r="I6" s="1034"/>
      <c r="J6" s="1034"/>
      <c r="K6" s="1034"/>
      <c r="L6" s="1034"/>
      <c r="M6" s="1034"/>
      <c r="N6" s="1034"/>
      <c r="O6" s="1034"/>
      <c r="P6" s="1035">
        <f>'SEAP template'!Q74</f>
        <v>0</v>
      </c>
    </row>
    <row r="7" spans="1:16">
      <c r="A7" s="1036" t="s">
        <v>854</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2231.7750000000001</v>
      </c>
      <c r="D8" s="1034">
        <f>'SEAP template'!D76</f>
        <v>2625.6176470588243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530.37476470588251</v>
      </c>
    </row>
    <row r="9" spans="1:16">
      <c r="A9" s="1037" t="s">
        <v>867</v>
      </c>
      <c r="B9" s="1034">
        <f>'SEAP template'!B77</f>
        <v>1237.5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3535.7142857142858</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40232.088478323509</v>
      </c>
      <c r="C10" s="1038">
        <f>SUM(C4:C9)</f>
        <v>2231.7750000000001</v>
      </c>
      <c r="D10" s="1038">
        <f t="shared" ref="D10:H10" si="0">SUM(D8:D9)</f>
        <v>2625.6176470588243</v>
      </c>
      <c r="E10" s="1038">
        <f t="shared" si="0"/>
        <v>0</v>
      </c>
      <c r="F10" s="1038">
        <f t="shared" si="0"/>
        <v>0</v>
      </c>
      <c r="G10" s="1038">
        <f t="shared" si="0"/>
        <v>0</v>
      </c>
      <c r="H10" s="1038">
        <f t="shared" si="0"/>
        <v>0</v>
      </c>
      <c r="I10" s="1038">
        <f>SUM(I8:I9)</f>
        <v>0</v>
      </c>
      <c r="J10" s="1038">
        <f>SUM(J8:J9)</f>
        <v>3535.7142857142858</v>
      </c>
      <c r="K10" s="1038">
        <f t="shared" ref="K10:L10" si="1">SUM(K8:K9)</f>
        <v>0</v>
      </c>
      <c r="L10" s="1038">
        <f t="shared" si="1"/>
        <v>0</v>
      </c>
      <c r="M10" s="1038">
        <f>SUM(M8:M9)</f>
        <v>0</v>
      </c>
      <c r="N10" s="1038">
        <f>SUM(N8:N9)</f>
        <v>0</v>
      </c>
      <c r="O10" s="1038">
        <f>SUM(O8:O9)</f>
        <v>0</v>
      </c>
      <c r="P10" s="1038">
        <f>SUM(P8:P9)</f>
        <v>530.37476470588251</v>
      </c>
    </row>
    <row r="11" spans="1:16">
      <c r="A11" s="870"/>
      <c r="B11" s="870"/>
      <c r="C11" s="870"/>
      <c r="D11" s="870"/>
      <c r="E11" s="870"/>
      <c r="F11" s="870"/>
      <c r="G11" s="870"/>
      <c r="H11" s="870"/>
      <c r="I11" s="870"/>
      <c r="J11" s="870"/>
      <c r="K11" s="870"/>
      <c r="L11" s="870"/>
      <c r="M11" s="870"/>
      <c r="N11" s="870"/>
      <c r="O11" s="870"/>
      <c r="P11" s="870"/>
    </row>
    <row r="12" spans="1:16">
      <c r="A12" s="462" t="s">
        <v>868</v>
      </c>
      <c r="B12" s="761" t="s">
        <v>869</v>
      </c>
      <c r="C12" s="761">
        <f ca="1">'EF ele_warmte'!B12</f>
        <v>0.19924846922864553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870</v>
      </c>
    </row>
    <row r="15" spans="1:16">
      <c r="A15" s="1186"/>
      <c r="B15" s="1187"/>
      <c r="C15" s="1187"/>
      <c r="D15" s="1189" t="s">
        <v>196</v>
      </c>
      <c r="E15" s="1189"/>
      <c r="F15" s="1189"/>
      <c r="G15" s="1189"/>
      <c r="H15" s="1189"/>
      <c r="I15" s="1187" t="s">
        <v>862</v>
      </c>
      <c r="J15" s="1187" t="s">
        <v>233</v>
      </c>
      <c r="K15" s="1187" t="s">
        <v>863</v>
      </c>
      <c r="L15" s="1187" t="s">
        <v>854</v>
      </c>
      <c r="M15" s="1187" t="s">
        <v>244</v>
      </c>
      <c r="N15" s="1187" t="s">
        <v>871</v>
      </c>
      <c r="O15" s="1187" t="s">
        <v>126</v>
      </c>
      <c r="P15" s="1187"/>
    </row>
    <row r="16" spans="1:16" ht="30">
      <c r="A16" s="1186"/>
      <c r="B16" s="1032" t="s">
        <v>872</v>
      </c>
      <c r="C16" s="1032" t="s">
        <v>873</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3188.25</v>
      </c>
      <c r="D17" s="1035">
        <f>'SEAP template'!D87</f>
        <v>3750.882352941177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757.67823529411783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874</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3188.25</v>
      </c>
      <c r="D20" s="1038">
        <f t="shared" ref="D20:H20" si="2">SUM(D17:D19)</f>
        <v>3750.882352941177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757.67823529411783</v>
      </c>
    </row>
    <row r="22" spans="1:16">
      <c r="A22" s="462" t="s">
        <v>875</v>
      </c>
      <c r="B22" s="761" t="s">
        <v>869</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861</v>
      </c>
    </row>
    <row r="2" spans="1:16" ht="15.75">
      <c r="A2" s="1186"/>
      <c r="B2" s="1187"/>
      <c r="C2" s="1187"/>
      <c r="D2" s="1188" t="s">
        <v>196</v>
      </c>
      <c r="E2" s="1188"/>
      <c r="F2" s="1188"/>
      <c r="G2" s="1188"/>
      <c r="H2" s="1188"/>
      <c r="I2" s="1032" t="s">
        <v>862</v>
      </c>
      <c r="J2" s="1032" t="s">
        <v>233</v>
      </c>
      <c r="K2" s="1032" t="s">
        <v>863</v>
      </c>
      <c r="L2" s="1032" t="s">
        <v>854</v>
      </c>
      <c r="M2" s="1032" t="s">
        <v>244</v>
      </c>
      <c r="N2" s="1032" t="s">
        <v>864</v>
      </c>
      <c r="O2" s="1032" t="s">
        <v>126</v>
      </c>
      <c r="P2" s="1187"/>
    </row>
    <row r="3" spans="1:16" ht="30">
      <c r="A3" s="1186"/>
      <c r="B3" s="1032" t="s">
        <v>865</v>
      </c>
      <c r="C3" s="1032" t="s">
        <v>866</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876</v>
      </c>
      <c r="C4" s="1045" t="s">
        <v>820</v>
      </c>
      <c r="D4" s="1045" t="s">
        <v>820</v>
      </c>
      <c r="E4" s="1045" t="s">
        <v>820</v>
      </c>
      <c r="F4" s="1045" t="s">
        <v>820</v>
      </c>
      <c r="G4" s="1045" t="s">
        <v>820</v>
      </c>
      <c r="H4" s="1045" t="s">
        <v>820</v>
      </c>
      <c r="I4" s="1045" t="s">
        <v>820</v>
      </c>
      <c r="J4" s="1045" t="s">
        <v>820</v>
      </c>
      <c r="K4" s="1045" t="s">
        <v>820</v>
      </c>
      <c r="L4" s="1045" t="s">
        <v>820</v>
      </c>
      <c r="M4" s="1045" t="s">
        <v>820</v>
      </c>
      <c r="N4" s="1045" t="s">
        <v>820</v>
      </c>
      <c r="O4" s="1045" t="s">
        <v>820</v>
      </c>
      <c r="P4" s="1046" t="s">
        <v>877</v>
      </c>
    </row>
    <row r="5" spans="1:16" ht="135">
      <c r="A5" s="1047" t="s">
        <v>249</v>
      </c>
      <c r="B5" s="1044" t="s">
        <v>876</v>
      </c>
      <c r="C5" s="1045" t="s">
        <v>820</v>
      </c>
      <c r="D5" s="1045" t="s">
        <v>820</v>
      </c>
      <c r="E5" s="1045" t="s">
        <v>820</v>
      </c>
      <c r="F5" s="1045" t="s">
        <v>820</v>
      </c>
      <c r="G5" s="1045" t="s">
        <v>820</v>
      </c>
      <c r="H5" s="1045" t="s">
        <v>820</v>
      </c>
      <c r="I5" s="1045" t="s">
        <v>820</v>
      </c>
      <c r="J5" s="1045" t="s">
        <v>820</v>
      </c>
      <c r="K5" s="1045" t="s">
        <v>820</v>
      </c>
      <c r="L5" s="1045" t="s">
        <v>820</v>
      </c>
      <c r="M5" s="1045" t="s">
        <v>820</v>
      </c>
      <c r="N5" s="1045" t="s">
        <v>820</v>
      </c>
      <c r="O5" s="1045" t="s">
        <v>820</v>
      </c>
      <c r="P5" s="1046" t="s">
        <v>877</v>
      </c>
    </row>
    <row r="6" spans="1:16" ht="135">
      <c r="A6" s="1047" t="s">
        <v>250</v>
      </c>
      <c r="B6" s="1044" t="s">
        <v>876</v>
      </c>
      <c r="C6" s="1045" t="s">
        <v>820</v>
      </c>
      <c r="D6" s="1045" t="s">
        <v>820</v>
      </c>
      <c r="E6" s="1045" t="s">
        <v>820</v>
      </c>
      <c r="F6" s="1045" t="s">
        <v>820</v>
      </c>
      <c r="G6" s="1045" t="s">
        <v>820</v>
      </c>
      <c r="H6" s="1045" t="s">
        <v>820</v>
      </c>
      <c r="I6" s="1045" t="s">
        <v>820</v>
      </c>
      <c r="J6" s="1045" t="s">
        <v>820</v>
      </c>
      <c r="K6" s="1045" t="s">
        <v>820</v>
      </c>
      <c r="L6" s="1045" t="s">
        <v>820</v>
      </c>
      <c r="M6" s="1045" t="s">
        <v>820</v>
      </c>
      <c r="N6" s="1045" t="s">
        <v>820</v>
      </c>
      <c r="O6" s="1045" t="s">
        <v>820</v>
      </c>
      <c r="P6" s="1046" t="s">
        <v>877</v>
      </c>
    </row>
    <row r="7" spans="1:16" ht="135">
      <c r="A7" s="1047" t="s">
        <v>854</v>
      </c>
      <c r="B7" s="1045" t="s">
        <v>820</v>
      </c>
      <c r="C7" s="1045" t="s">
        <v>820</v>
      </c>
      <c r="D7" s="1045" t="s">
        <v>820</v>
      </c>
      <c r="E7" s="1045" t="s">
        <v>820</v>
      </c>
      <c r="F7" s="1045" t="s">
        <v>820</v>
      </c>
      <c r="G7" s="1045" t="s">
        <v>820</v>
      </c>
      <c r="H7" s="1045" t="s">
        <v>820</v>
      </c>
      <c r="I7" s="1045" t="s">
        <v>820</v>
      </c>
      <c r="J7" s="1045" t="s">
        <v>820</v>
      </c>
      <c r="K7" s="1045" t="s">
        <v>820</v>
      </c>
      <c r="L7" s="1045" t="s">
        <v>820</v>
      </c>
      <c r="M7" s="1045" t="s">
        <v>820</v>
      </c>
      <c r="N7" s="1045" t="s">
        <v>820</v>
      </c>
      <c r="O7" s="1045" t="s">
        <v>820</v>
      </c>
      <c r="P7" s="1046" t="s">
        <v>877</v>
      </c>
    </row>
    <row r="8" spans="1:16" ht="210">
      <c r="A8" s="1043" t="s">
        <v>251</v>
      </c>
      <c r="B8" s="1044" t="s">
        <v>878</v>
      </c>
      <c r="C8" s="1044" t="s">
        <v>878</v>
      </c>
      <c r="D8" s="1044" t="s">
        <v>878</v>
      </c>
      <c r="E8" s="1044" t="s">
        <v>878</v>
      </c>
      <c r="F8" s="1044" t="s">
        <v>878</v>
      </c>
      <c r="G8" s="1044" t="s">
        <v>878</v>
      </c>
      <c r="H8" s="1044" t="s">
        <v>878</v>
      </c>
      <c r="I8" s="1044" t="s">
        <v>878</v>
      </c>
      <c r="J8" s="1044" t="s">
        <v>878</v>
      </c>
      <c r="K8" s="1045" t="s">
        <v>820</v>
      </c>
      <c r="L8" s="1045" t="s">
        <v>820</v>
      </c>
      <c r="M8" s="1045" t="s">
        <v>820</v>
      </c>
      <c r="N8" s="1044" t="s">
        <v>879</v>
      </c>
      <c r="O8" s="1044" t="s">
        <v>879</v>
      </c>
      <c r="P8" s="1048"/>
    </row>
    <row r="9" spans="1:16" ht="210">
      <c r="A9" s="1049" t="s">
        <v>867</v>
      </c>
      <c r="B9" s="1044" t="s">
        <v>879</v>
      </c>
      <c r="C9" s="1044" t="s">
        <v>879</v>
      </c>
      <c r="D9" s="1044" t="s">
        <v>879</v>
      </c>
      <c r="E9" s="1044" t="s">
        <v>879</v>
      </c>
      <c r="F9" s="1044" t="s">
        <v>879</v>
      </c>
      <c r="G9" s="1044" t="s">
        <v>879</v>
      </c>
      <c r="H9" s="1044" t="s">
        <v>879</v>
      </c>
      <c r="I9" s="1044" t="s">
        <v>879</v>
      </c>
      <c r="J9" s="1044" t="s">
        <v>879</v>
      </c>
      <c r="K9" s="1045" t="s">
        <v>820</v>
      </c>
      <c r="L9" s="1044" t="s">
        <v>879</v>
      </c>
      <c r="M9" s="1044" t="s">
        <v>879</v>
      </c>
      <c r="N9" s="1044" t="s">
        <v>879</v>
      </c>
      <c r="O9" s="1044" t="s">
        <v>879</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868</v>
      </c>
      <c r="B12" s="761" t="s">
        <v>869</v>
      </c>
      <c r="C12" s="1051" t="s">
        <v>880</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870</v>
      </c>
    </row>
    <row r="15" spans="1:16">
      <c r="A15" s="1186"/>
      <c r="B15" s="1187"/>
      <c r="C15" s="1187"/>
      <c r="D15" s="1189" t="s">
        <v>196</v>
      </c>
      <c r="E15" s="1189"/>
      <c r="F15" s="1189"/>
      <c r="G15" s="1189"/>
      <c r="H15" s="1189"/>
      <c r="I15" s="1187" t="s">
        <v>862</v>
      </c>
      <c r="J15" s="1187" t="s">
        <v>233</v>
      </c>
      <c r="K15" s="1187" t="s">
        <v>863</v>
      </c>
      <c r="L15" s="1187" t="s">
        <v>854</v>
      </c>
      <c r="M15" s="1187" t="s">
        <v>244</v>
      </c>
      <c r="N15" s="1187" t="s">
        <v>871</v>
      </c>
      <c r="O15" s="1187" t="s">
        <v>126</v>
      </c>
      <c r="P15" s="1187"/>
    </row>
    <row r="16" spans="1:16" ht="30">
      <c r="A16" s="1186"/>
      <c r="B16" s="1032" t="s">
        <v>872</v>
      </c>
      <c r="C16" s="1032" t="s">
        <v>873</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879</v>
      </c>
      <c r="C17" s="1044" t="s">
        <v>879</v>
      </c>
      <c r="D17" s="1044" t="s">
        <v>879</v>
      </c>
      <c r="E17" s="1044" t="s">
        <v>879</v>
      </c>
      <c r="F17" s="1044" t="s">
        <v>879</v>
      </c>
      <c r="G17" s="1044" t="s">
        <v>879</v>
      </c>
      <c r="H17" s="1044" t="s">
        <v>879</v>
      </c>
      <c r="I17" s="1044" t="s">
        <v>879</v>
      </c>
      <c r="J17" s="1044" t="s">
        <v>879</v>
      </c>
      <c r="K17" s="1045" t="s">
        <v>820</v>
      </c>
      <c r="L17" s="1045" t="s">
        <v>820</v>
      </c>
      <c r="M17" s="1045" t="s">
        <v>820</v>
      </c>
      <c r="N17" s="1044" t="s">
        <v>879</v>
      </c>
      <c r="O17" s="1044" t="s">
        <v>879</v>
      </c>
      <c r="P17" s="1052"/>
    </row>
    <row r="18" spans="1:16" ht="45">
      <c r="A18" s="1041" t="s">
        <v>257</v>
      </c>
      <c r="B18" s="1046" t="s">
        <v>843</v>
      </c>
      <c r="C18" s="1046" t="s">
        <v>843</v>
      </c>
      <c r="D18" s="1046" t="s">
        <v>843</v>
      </c>
      <c r="E18" s="1046" t="s">
        <v>843</v>
      </c>
      <c r="F18" s="1046" t="s">
        <v>843</v>
      </c>
      <c r="G18" s="1046" t="s">
        <v>843</v>
      </c>
      <c r="H18" s="1046" t="s">
        <v>843</v>
      </c>
      <c r="I18" s="1046" t="s">
        <v>843</v>
      </c>
      <c r="J18" s="1046" t="s">
        <v>843</v>
      </c>
      <c r="K18" s="1046" t="s">
        <v>843</v>
      </c>
      <c r="L18" s="1046" t="s">
        <v>843</v>
      </c>
      <c r="M18" s="1046" t="s">
        <v>843</v>
      </c>
      <c r="N18" s="1046" t="s">
        <v>843</v>
      </c>
      <c r="O18" s="1046" t="s">
        <v>843</v>
      </c>
      <c r="P18" s="1046" t="s">
        <v>843</v>
      </c>
    </row>
    <row r="19" spans="1:16" ht="45">
      <c r="A19" s="1037" t="s">
        <v>874</v>
      </c>
      <c r="B19" s="1046" t="s">
        <v>843</v>
      </c>
      <c r="C19" s="1046" t="s">
        <v>843</v>
      </c>
      <c r="D19" s="1046" t="s">
        <v>843</v>
      </c>
      <c r="E19" s="1046" t="s">
        <v>843</v>
      </c>
      <c r="F19" s="1046" t="s">
        <v>843</v>
      </c>
      <c r="G19" s="1046" t="s">
        <v>843</v>
      </c>
      <c r="H19" s="1046" t="s">
        <v>843</v>
      </c>
      <c r="I19" s="1046" t="s">
        <v>843</v>
      </c>
      <c r="J19" s="1046" t="s">
        <v>843</v>
      </c>
      <c r="K19" s="1046" t="s">
        <v>843</v>
      </c>
      <c r="L19" s="1046" t="s">
        <v>843</v>
      </c>
      <c r="M19" s="1046" t="s">
        <v>843</v>
      </c>
      <c r="N19" s="1046" t="s">
        <v>843</v>
      </c>
      <c r="O19" s="1046" t="s">
        <v>843</v>
      </c>
      <c r="P19" s="1046" t="s">
        <v>843</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875</v>
      </c>
      <c r="B22" s="761" t="s">
        <v>869</v>
      </c>
      <c r="C22" s="1051" t="s">
        <v>881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589</v>
      </c>
      <c r="B6" s="75" t="s">
        <v>590</v>
      </c>
      <c r="C6" s="435" t="s">
        <v>573</v>
      </c>
    </row>
    <row r="7" spans="1:3">
      <c r="A7" s="125"/>
      <c r="B7" s="129"/>
      <c r="C7" s="122"/>
    </row>
    <row r="8" spans="1:3">
      <c r="A8" s="113" t="s">
        <v>592</v>
      </c>
      <c r="B8" s="75" t="s">
        <v>591</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626</v>
      </c>
    </row>
    <row r="13" spans="1:3">
      <c r="A13" s="140"/>
      <c r="B13" s="124"/>
      <c r="C13" s="300"/>
    </row>
    <row r="14" spans="1:3" s="11" customFormat="1">
      <c r="A14" s="113" t="s">
        <v>609</v>
      </c>
      <c r="B14" s="130" t="s">
        <v>610</v>
      </c>
      <c r="C14" s="131" t="s">
        <v>611</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621</v>
      </c>
      <c r="B4" s="465"/>
      <c r="C4" s="465"/>
      <c r="D4" s="465"/>
      <c r="E4" s="465"/>
      <c r="F4" s="465"/>
      <c r="G4" s="497"/>
      <c r="H4" s="497"/>
      <c r="I4" s="465"/>
      <c r="J4" s="465"/>
      <c r="K4" s="465"/>
      <c r="L4" s="465"/>
      <c r="M4" s="465"/>
      <c r="N4" s="465"/>
      <c r="O4" s="465"/>
      <c r="P4" s="465"/>
    </row>
    <row r="5" spans="1:16" outlineLevel="1">
      <c r="A5" s="669" t="s">
        <v>622</v>
      </c>
      <c r="B5" s="465"/>
      <c r="C5" s="465"/>
      <c r="D5" s="465"/>
      <c r="E5" s="465"/>
      <c r="F5" s="465"/>
      <c r="G5" s="497"/>
      <c r="H5" s="497"/>
      <c r="I5" s="465"/>
      <c r="J5" s="465"/>
      <c r="K5" s="465"/>
      <c r="L5" s="465"/>
      <c r="M5" s="465"/>
      <c r="N5" s="465"/>
      <c r="O5" s="465"/>
      <c r="P5" s="465"/>
    </row>
    <row r="6" spans="1:16" outlineLevel="1">
      <c r="A6" s="669" t="s">
        <v>623</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624</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625</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587</v>
      </c>
      <c r="B13" s="452"/>
      <c r="C13" s="469"/>
      <c r="D13" s="469"/>
      <c r="E13" s="469"/>
      <c r="F13" s="469"/>
      <c r="G13" s="469"/>
      <c r="H13" s="469"/>
      <c r="I13" s="469"/>
      <c r="J13" s="469"/>
      <c r="K13" s="469"/>
      <c r="L13" s="469"/>
      <c r="M13" s="469"/>
      <c r="N13" s="469"/>
      <c r="O13" s="762" t="s">
        <v>645</v>
      </c>
      <c r="P13" s="762" t="s">
        <v>644</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614</v>
      </c>
      <c r="B17" s="499">
        <f ca="1">'EF ele_warmte'!B12</f>
        <v>0.19924846922864553</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669</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633</v>
      </c>
      <c r="B27" s="769">
        <f>B24*B25*B26</f>
        <v>0</v>
      </c>
      <c r="C27" s="490" t="s">
        <v>634</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669</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633</v>
      </c>
      <c r="B35" s="768">
        <f>B31*B32*B33/1000-B31*B32*B33/1000/B34</f>
        <v>0</v>
      </c>
      <c r="C35" s="496" t="s">
        <v>634</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2020-06-20T16:11:32Z</dcterms:modified>
</cp:coreProperties>
</file>