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1"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F10" i="14"/>
  <c r="E5" i="48"/>
  <c r="N52" i="14"/>
  <c r="N61" i="14" s="1"/>
  <c r="N63" i="14" s="1"/>
  <c r="O33"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23" i="48" l="1"/>
  <c r="E8" i="48"/>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<sst xmlns="http://schemas.openxmlformats.org/spreadsheetml/2006/main" count="2461" uniqueCount="927">
  <si>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</si>
  <si>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</si>
  <si>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</si>
  <si>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</si>
  <si>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</si>
  <si>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</si>
  <si>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</si>
  <si>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</si>
  <si>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</si>
  <si>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</si>
  <si>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</si>
  <si>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</si>
  <si>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</si>
  <si>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</si>
  <si>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</si>
  <si>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</si>
  <si>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</si>
  <si>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</si>
  <si>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</si>
  <si>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</si>
  <si>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</si>
  <si>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</si>
  <si>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</si>
  <si>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</si>
  <si>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</si>
  <si>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</si>
  <si>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</si>
  <si>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</si>
  <si>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</si>
  <si>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</si>
  <si>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</si>
  <si>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</si>
  <si>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</si>
  <si>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</si>
  <si>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</si>
  <si>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</si>
  <si>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</si>
  <si>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</si>
  <si>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</si>
  <si>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</si>
  <si>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</si>
  <si>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</si>
  <si>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</si>
  <si>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</si>
  <si>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</si>
  <si>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</si>
  <si>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</si>
  <si>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</si>
  <si>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</si>
  <si>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</si>
  <si>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</si>
  <si>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</si>
  <si>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</si>
  <si>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</si>
  <si>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</si>
  <si>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</si>
  <si>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</si>
  <si>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</si>
  <si>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</si>
  <si>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</si>
  <si>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</si>
  <si>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</si>
  <si>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</si>
  <si>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</si>
  <si>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</si>
  <si>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</si>
  <si>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</si>
  <si>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</si>
  <si>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</si>
  <si>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</si>
  <si>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</si>
  <si>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</si>
  <si>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</si>
  <si>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</si>
  <si>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</si>
  <si>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</si>
  <si>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</si>
  <si>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</si>
  <si>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</si>
  <si>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</si>
  <si>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</si>
  <si>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</si>
  <si>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</si>
  <si>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</si>
  <si>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</si>
  <si>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</si>
  <si>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</si>
  <si>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</si>
  <si>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</si>
  <si>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</si>
  <si>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</si>
  <si>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</si>
  <si>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</si>
  <si>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</si>
  <si>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</si>
  <si>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</si>
  <si>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</si>
  <si>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</si>
  <si>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</si>
  <si>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</si>
  <si>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</si>
  <si>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</si>
  <si>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</si>
  <si>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</si>
  <si>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</si>
  <si>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</si>
  <si>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</si>
  <si>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</si>
  <si>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</si>
  <si>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</si>
  <si>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</si>
  <si>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</si>
  <si>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</si>
  <si>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</si>
  <si>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</si>
  <si>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</si>
  <si>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</si>
  <si>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</si>
  <si>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</si>
  <si>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</si>
  <si>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</si>
  <si>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</si>
  <si>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</si>
  <si>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</si>
  <si>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</si>
  <si>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</si>
  <si>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</si>
  <si>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</si>
  <si>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</si>
  <si>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</si>
  <si>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</si>
  <si>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</si>
  <si>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</si>
  <si>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</si>
  <si>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</si>
  <si>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</si>
  <si>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</si>
  <si>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</si>
  <si>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</si>
  <si>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</si>
  <si>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</si>
  <si>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</si>
  <si>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</si>
  <si>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</si>
  <si>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</si>
  <si>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</si>
  <si>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</si>
  <si>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</si>
  <si>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</si>
  <si>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</si>
  <si>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</si>
  <si>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</si>
  <si>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</si>
  <si>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</si>
  <si>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</si>
  <si>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</si>
  <si>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</si>
  <si>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</si>
  <si>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</si>
  <si>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</si>
  <si>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</si>
  <si>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</si>
  <si>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</si>
  <si>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</si>
  <si>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</si>
  <si>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</si>
  <si>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</si>
  <si>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</si>
  <si>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</si>
  <si>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</si>
  <si>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</si>
  <si>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</si>
  <si>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</si>
  <si>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</si>
  <si>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</si>
  <si>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</si>
  <si>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</si>
  <si>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</si>
  <si>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</si>
  <si>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</si>
  <si>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</si>
  <si>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</si>
  <si>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</si>
  <si>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</si>
  <si>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</si>
  <si>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</si>
  <si>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</si>
  <si>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</si>
  <si>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</si>
  <si>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</si>
  <si>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</si>
  <si>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</si>
  <si>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</si>
  <si>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</si>
  <si>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</si>
  <si>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</si>
  <si>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</si>
  <si>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</si>
  <si>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</si>
  <si>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</si>
  <si>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</si>
  <si>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</si>
  <si>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</si>
  <si>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</si>
  <si>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</si>
  <si>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</si>
  <si>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</si>
  <si>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</si>
  <si>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</si>
  <si>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</si>
  <si>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</si>
  <si>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</si>
  <si>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</si>
  <si>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</si>
  <si>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</si>
  <si>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</si>
  <si>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</si>
  <si>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</si>
  <si>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</si>
  <si>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</si>
  <si>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</si>
  <si>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</si>
  <si>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</si>
  <si>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</si>
  <si>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</si>
  <si>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</si>
  <si>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</si>
  <si>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</si>
  <si>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</si>
  <si>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</si>
  <si>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</si>
  <si>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</si>
  <si>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</si>
  <si>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</si>
  <si>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</si>
  <si>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</si>
  <si>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</si>
  <si>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</si>
  <si>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</si>
  <si>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</si>
  <si>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</si>
  <si>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</si>
  <si>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</si>
  <si>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</si>
  <si>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</si>
  <si>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</si>
  <si>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</si>
  <si>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</si>
  <si>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</si>
  <si>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</si>
  <si>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</si>
  <si>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</si>
  <si>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</si>
  <si>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</si>
  <si>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</si>
  <si>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</si>
  <si>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</si>
  <si>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</si>
  <si>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</si>
  <si>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</si>
  <si>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</si>
  <si>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</si>
  <si>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</si>
  <si>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</si>
  <si>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</si>
  <si>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</si>
  <si>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</si>
  <si>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</si>
  <si>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</si>
  <si>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</si>
  <si>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</si>
  <si>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</si>
  <si>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</si>
  <si>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</si>
  <si>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</si>
  <si>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</si>
  <si>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</si>
  <si>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</si>
  <si>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</si>
  <si>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</si>
  <si>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</si>
  <si>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</si>
  <si>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</si>
  <si>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</si>
  <si>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</si>
  <si>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</si>
  <si>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</si>
  <si>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</si>
  <si>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</si>
  <si>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</si>
  <si>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</si>
  <si>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</si>
  <si>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</si>
  <si>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</si>
  <si>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</si>
  <si>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</si>
  <si>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</si>
  <si>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</si>
  <si>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</si>
  <si>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</si>
  <si>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</si>
  <si>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</si>
  <si>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</si>
  <si>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</si>
  <si>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</si>
  <si>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</si>
  <si>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</si>
  <si>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</si>
  <si>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</si>
  <si>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</si>
  <si>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</si>
  <si>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</si>
  <si>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</si>
  <si>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</si>
  <si>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</si>
  <si>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</si>
  <si>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</si>
  <si>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</si>
  <si>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</si>
  <si>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</si>
  <si>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</si>
  <si>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</si>
  <si>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</si>
  <si>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</si>
  <si>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</si>
  <si>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</si>
  <si>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</si>
  <si>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</si>
  <si>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</si>
  <si>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</si>
  <si>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</si>
  <si>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</si>
  <si>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</si>
  <si>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</si>
  <si>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</si>
  <si>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</si>
  <si>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</si>
  <si>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</si>
  <si>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</si>
  <si>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</si>
  <si>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</si>
  <si>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</si>
  <si>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</si>
  <si>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</si>
  <si>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</si>
  <si>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</si>
  <si>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</si>
  <si>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</si>
  <si>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</si>
  <si>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</si>
  <si>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</si>
  <si>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</si>
  <si>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</si>
  <si>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</si>
  <si>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</si>
  <si>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</si>
  <si>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</si>
  <si>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</si>
  <si>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</si>
  <si>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</si>
  <si>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</si>
  <si>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</si>
  <si>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</si>
  <si>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</si>
  <si>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</si>
  <si>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</si>
  <si>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</si>
  <si>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</si>
  <si>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</si>
  <si>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</si>
  <si>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</si>
  <si>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</si>
  <si>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</si>
  <si>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</si>
  <si>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</si>
  <si>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</si>
  <si>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</si>
  <si>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</si>
  <si>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</si>
  <si>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</si>
  <si>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</si>
  <si>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</si>
  <si>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</si>
  <si>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</si>
  <si>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</si>
  <si>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</si>
  <si>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</si>
  <si>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</si>
  <si>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</si>
  <si>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</si>
  <si>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</si>
  <si>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</si>
  <si>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</si>
  <si>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</si>
  <si>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</si>
  <si>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</si>
  <si>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</si>
  <si>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</si>
  <si>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</si>
  <si>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</si>
  <si>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</si>
  <si>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</si>
  <si>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</si>
  <si>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</si>
  <si>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</si>
  <si>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</si>
  <si>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</si>
  <si>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</si>
  <si>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</si>
  <si>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</si>
  <si>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</si>
  <si>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</si>
  <si>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</si>
  <si>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</si>
  <si>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</si>
  <si>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</si>
  <si>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</si>
  <si>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</si>
  <si>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</si>
  <si>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</si>
  <si>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</si>
  <si>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</si>
  <si>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</si>
  <si>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</si>
  <si>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</si>
  <si>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</si>
  <si>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</si>
  <si>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</si>
  <si>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</si>
  <si>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</si>
  <si>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</si>
  <si>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</si>
  <si>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</si>
  <si>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</si>
  <si>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</si>
  <si>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</si>
  <si>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</si>
  <si>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</si>
  <si>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</si>
  <si>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</si>
  <si>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</si>
  <si>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</si>
  <si>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</si>
  <si>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</si>
  <si>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</si>
  <si>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</si>
  <si>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</si>
  <si>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</si>
  <si>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</si>
  <si>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</si>
  <si>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</si>
  <si>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</si>
  <si>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</si>
  <si>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</si>
  <si>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</si>
  <si>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</si>
  <si>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</si>
  <si>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</si>
  <si>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</si>
  <si>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</si>
  <si>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</si>
  <si>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</si>
  <si>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</si>
  <si>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</si>
  <si>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</si>
  <si>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</si>
  <si>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</si>
  <si>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</si>
  <si>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</si>
  <si>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</si>
  <si>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</si>
  <si>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</si>
  <si>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</si>
  <si>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</si>
  <si>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</si>
  <si>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</si>
  <si>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</si>
  <si>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</si>
  <si>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</si>
  <si>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</si>
  <si>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</si>
  <si>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</si>
  <si>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</si>
  <si>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</si>
  <si>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</si>
  <si>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</si>
  <si>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</si>
  <si>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</si>
  <si>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</si>
  <si>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</si>
  <si>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</si>
  <si>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</si>
  <si>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</si>
  <si>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</si>
  <si>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</si>
  <si>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</si>
  <si>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</si>
  <si>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</si>
  <si>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</si>
  <si>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</si>
  <si>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</si>
  <si>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</si>
  <si>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</si>
  <si>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</si>
  <si>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</si>
  <si>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</si>
  <si>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</si>
  <si>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</si>
  <si>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</si>
  <si>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</si>
  <si>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</si>
  <si>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</si>
  <si>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</si>
  <si>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</si>
  <si>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</si>
  <si>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</si>
  <si>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</si>
  <si>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</si>
  <si>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</si>
  <si>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</si>
  <si>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</si>
  <si>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</si>
  <si>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</si>
  <si>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</si>
  <si>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</si>
  <si>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</si>
  <si>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</si>
  <si>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</si>
  <si>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</si>
  <si>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</si>
  <si>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</si>
  <si>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</si>
  <si>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</si>
  <si>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</si>
  <si>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</si>
  <si>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</si>
  <si>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</si>
  <si>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</si>
  <si>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</si>
  <si>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</si>
  <si>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</si>
  <si>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</si>
  <si>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</si>
  <si>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</si>
  <si>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</si>
  <si>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</si>
  <si>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</si>
  <si>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</si>
  <si>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</si>
  <si>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</si>
  <si>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</si>
  <si>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</si>
  <si>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</si>
  <si>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</si>
  <si>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</si>
  <si>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</si>
  <si>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</si>
  <si>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</si>
  <si>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</si>
  <si>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</si>
  <si>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</si>
  <si>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</si>
  <si>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</si>
  <si>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</si>
  <si>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</si>
  <si>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</si>
  <si>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</si>
  <si>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</si>
  <si>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</si>
  <si>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</si>
  <si>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</si>
  <si>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</si>
  <si>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</si>
  <si>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</si>
  <si>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</si>
  <si>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</si>
  <si>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</si>
  <si>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</si>
  <si>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</si>
  <si>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</si>
  <si>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</si>
  <si>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</si>
  <si>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</si>
  <si>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</si>
  <si>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</si>
  <si>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</si>
  <si>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</si>
  <si>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</si>
  <si>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</si>
  <si>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</si>
  <si>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</si>
  <si>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</si>
  <si>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</si>
  <si>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</si>
  <si>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</si>
  <si>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</si>
  <si>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</si>
  <si>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</si>
  <si>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</si>
  <si>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</si>
  <si>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</si>
  <si>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</si>
  <si>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</si>
  <si>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</si>
  <si>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</si>
  <si>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</si>
  <si>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</si>
  <si>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</si>
  <si>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</si>
  <si>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</si>
  <si>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</si>
  <si>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</si>
  <si>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</si>
  <si>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</si>
  <si>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</si>
  <si>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</si>
  <si>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</si>
  <si>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</si>
  <si>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</si>
  <si>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</si>
  <si>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</si>
  <si>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</si>
  <si>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</si>
  <si>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</si>
  <si>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</si>
  <si>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</si>
  <si>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</si>
  <si>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</si>
  <si>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</si>
  <si>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</si>
  <si>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</si>
  <si>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</si>
  <si>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</si>
  <si>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</si>
  <si>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</si>
  <si>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</si>
  <si>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</si>
  <si>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</si>
  <si>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</si>
  <si>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</si>
  <si>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</si>
  <si>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</si>
  <si>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</si>
  <si>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</si>
  <si>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</si>
  <si>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</si>
  <si>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</si>
  <si>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</si>
  <si>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</si>
  <si>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</si>
  <si>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</si>
  <si>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</si>
  <si>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</si>
  <si>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</si>
  <si>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</si>
  <si>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</si>
  <si>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</si>
  <si>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</si>
  <si>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</si>
  <si>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</si>
  <si>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</si>
  <si>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</si>
  <si>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</si>
  <si>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</si>
  <si>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</si>
  <si>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</si>
  <si>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</si>
  <si>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</si>
  <si>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</si>
  <si>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</si>
  <si>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</si>
  <si>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</si>
  <si>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</si>
  <si>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</si>
  <si>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</si>
  <si>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</si>
  <si>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</si>
  <si>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</si>
  <si>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</si>
  <si>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</si>
  <si>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</si>
  <si>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</si>
  <si>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</si>
  <si>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</si>
  <si>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</si>
  <si>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</si>
  <si>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</si>
  <si>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</si>
  <si>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</si>
  <si>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</si>
  <si>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</si>
  <si>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</si>
  <si>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</si>
  <si>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</si>
  <si>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</si>
  <si>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</si>
  <si>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</si>
  <si>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</si>
  <si>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</si>
  <si>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</si>
  <si>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</si>
  <si>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</si>
  <si>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</si>
  <si>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</si>
  <si>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</si>
  <si>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</si>
  <si>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</si>
  <si>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</si>
  <si>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</si>
  <si>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</si>
  <si>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</si>
  <si>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</si>
  <si>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</si>
  <si>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</si>
  <si>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</si>
  <si>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</si>
  <si>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</si>
  <si>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</si>
  <si>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</si>
  <si>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</si>
  <si>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</si>
  <si>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</si>
  <si>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</si>
  <si>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</si>
  <si>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</si>
  <si>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</si>
  <si>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</si>
  <si>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</si>
  <si>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</si>
  <si>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</si>
  <si>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</si>
  <si>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</si>
  <si>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</si>
  <si>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</si>
  <si>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</si>
  <si>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</si>
  <si>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</si>
  <si>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</si>
  <si>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</si>
  <si>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</si>
  <si>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</si>
  <si>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</si>
  <si>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</si>
  <si>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</si>
  <si>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</si>
  <si>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</si>
  <si>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</si>
  <si>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</si>
  <si>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</si>
  <si>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</si>
  <si>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</si>
  <si>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</si>
  <si>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</si>
  <si>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</si>
  <si>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</si>
  <si>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</si>
  <si>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</si>
  <si>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</si>
  <si>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</si>
  <si>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</si>
  <si>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</si>
  <si>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</si>
  <si>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</si>
  <si>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</si>
  <si>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</si>
  <si>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</si>
  <si>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</si>
  <si>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</si>
  <si>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</si>
  <si>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</si>
  <si>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</si>
  <si>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</si>
  <si>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</si>
  <si>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</si>
  <si>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</si>
  <si>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</si>
  <si>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</si>
  <si>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</si>
  <si>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</si>
  <si>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</si>
  <si>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</si>
  <si>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</si>
  <si>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</si>
  <si>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</si>
  <si>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</si>
  <si>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</si>
  <si>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</si>
  <si>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</si>
  <si>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</si>
  <si>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</si>
  <si>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</si>
  <si>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</si>
  <si>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</si>
  <si>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</si>
  <si>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</si>
  <si>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</si>
  <si>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</si>
  <si>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</si>
  <si>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</si>
  <si>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</si>
  <si>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</si>
  <si>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</si>
  <si>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</si>
  <si>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</si>
  <si>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</si>
  <si>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</si>
  <si>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</si>
  <si>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</si>
  <si>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</si>
  <si>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</si>
  <si>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</si>
  <si>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</si>
  <si>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</si>
  <si>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</si>
  <si>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</si>
  <si>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</si>
  <si>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</si>
  <si>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</si>
  <si>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</si>
  <si>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</si>
  <si>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</si>
  <si>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</si>
  <si>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</si>
  <si>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</si>
  <si>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</si>
  <si>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</si>
  <si>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</si>
  <si>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</si>
  <si>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</si>
  <si>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</si>
  <si>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</si>
  <si>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</si>
  <si>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</si>
  <si>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</si>
  <si>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</si>
  <si>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</si>
  <si>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</si>
  <si>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</si>
  <si>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</si>
  <si>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</si>
  <si>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</si>
  <si>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</si>
  <si>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</si>
  <si>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</si>
  <si>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</si>
  <si>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</si>
  <si>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</si>
  <si>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</si>
  <si>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</si>
  <si>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</si>
  <si>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</si>
  <si>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</si>
  <si>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</si>
  <si>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</si>
  <si>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</si>
  <si>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</si>
  <si>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</si>
  <si>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</si>
  <si>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</si>
  <si>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</si>
  <si>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</si>
  <si>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</si>
  <si>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</si>
  <si>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</si>
  <si>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</si>
  <si>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</si>
  <si>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</si>
  <si>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</si>
  <si>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</si>
  <si>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</si>
  <si>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</si>
  <si>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</si>
  <si>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</si>
  <si>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</si>
  <si>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</si>
  <si>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</si>
  <si>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</si>
  <si>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</si>
  <si>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</si>
  <si>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</si>
  <si>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</si>
  <si>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</si>
  <si>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</si>
  <si>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</si>
  <si>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</si>
  <si>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</si>
  <si>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</si>
  <si>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</si>
  <si>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</si>
  <si>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</si>
  <si>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</si>
  <si>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</si>
  <si>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</si>
  <si>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</si>
  <si>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</si>
  <si>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</si>
  <si>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</si>
  <si>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</si>
  <si>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</si>
  <si>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</si>
  <si>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</si>
  <si>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</si>
  <si>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</si>
  <si>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</si>
  <si>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</si>
  <si>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</si>
  <si>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</si>
  <si>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46024</t>
  </si>
  <si>
    <t>STEKENE</t>
  </si>
  <si>
    <t>Paarden&amp;pony's 200 - 600 kg</t>
  </si>
  <si>
    <t>Paarden&amp;pony's &lt; 200 kg</t>
  </si>
  <si>
    <t>Fluvius</t>
  </si>
  <si>
    <t>referentietaak LNE (2017); Jaarverslag De Lijn</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</si>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</sst>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153789.59154067954</c:v>
                </c:pt>
                <c:pt idx="1">
                  <c:v>28786.575935988734</c:v>
                </c:pt>
                <c:pt idx="2">
                  <c:v>1124.32</c:v>
                </c:pt>
                <c:pt idx="3">
                  <c:v>26536.284679035038</c:v>
                </c:pt>
                <c:pt idx="4">
                  <c:v>9379.7660455860369</c:v>
                </c:pt>
                <c:pt idx="5">
                  <c:v>163301.57079963517</c:v>
                </c:pt>
                <c:pt idx="6">
                  <c:v>1443.2612003824781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153789.59154067954</c:v>
                </c:pt>
                <c:pt idx="1">
                  <c:v>28786.575935988734</c:v>
                </c:pt>
                <c:pt idx="2">
                  <c:v>1124.32</c:v>
                </c:pt>
                <c:pt idx="3">
                  <c:v>26536.284679035038</c:v>
                </c:pt>
                <c:pt idx="4">
                  <c:v>9379.7660455860369</c:v>
                </c:pt>
                <c:pt idx="5">
                  <c:v>163301.57079963517</c:v>
                </c:pt>
                <c:pt idx="6">
                  <c:v>1443.2612003824781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26663.483946486485</c:v>
                </c:pt>
                <c:pt idx="2">
                  <c:v>5511.848815911083</c:v>
                </c:pt>
                <c:pt idx="3">
                  <c:v>209.68749050224412</c:v>
                </c:pt>
                <c:pt idx="4">
                  <c:v>5037.9840384411673</c:v>
                </c:pt>
                <c:pt idx="5">
                  <c:v>1922.90809459455</c:v>
                </c:pt>
                <c:pt idx="6">
                  <c:v>40989.656624911819</c:v>
                </c:pt>
                <c:pt idx="7">
                  <c:v>364.51610918184474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26663.483946486485</c:v>
                </c:pt>
                <c:pt idx="2">
                  <c:v>5511.848815911083</c:v>
                </c:pt>
                <c:pt idx="3">
                  <c:v>209.68749050224412</c:v>
                </c:pt>
                <c:pt idx="4">
                  <c:v>5037.9840384411673</c:v>
                </c:pt>
                <c:pt idx="5">
                  <c:v>1922.90809459455</c:v>
                </c:pt>
                <c:pt idx="6">
                  <c:v>40989.656624911819</c:v>
                </c:pt>
                <c:pt idx="7">
                  <c:v>364.51610918184474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46024</v>
      </c>
      <c r="B6" s="391"/>
      <c r="C6" s="392"/>
    </row>
    <row r="7" spans="1:7" s="389" customFormat="1" ht="15.75" customHeight="1">
      <c r="A7" s="393" t="str">
        <f>txtMunicipality</f>
        <v>STEKENE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0.18650161030867024</v>
      </c>
      <c r="C17" s="499">
        <f ca="1">'EF ele_warmte'!B22</f>
        <v>0.17024111339451034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0.18650161030867024</v>
      </c>
      <c r="C29" s="500">
        <f ca="1">'EF ele_warmte'!B22</f>
        <v>0.17024111339451034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7312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2013</v>
      </c>
      <c r="C14" s="330"/>
      <c r="D14" s="330"/>
      <c r="E14" s="330"/>
      <c r="F14" s="330"/>
    </row>
    <row r="15" spans="1:6">
      <c r="A15" s="1305" t="s">
        <v>183</v>
      </c>
      <c r="B15" s="1306">
        <v>14</v>
      </c>
      <c r="C15" s="330"/>
      <c r="D15" s="330"/>
      <c r="E15" s="330"/>
      <c r="F15" s="330"/>
    </row>
    <row r="16" spans="1:6">
      <c r="A16" s="1305" t="s">
        <v>6</v>
      </c>
      <c r="B16" s="1306">
        <v>488</v>
      </c>
      <c r="C16" s="330"/>
      <c r="D16" s="330"/>
      <c r="E16" s="330"/>
      <c r="F16" s="330"/>
    </row>
    <row r="17" spans="1:6">
      <c r="A17" s="1305" t="s">
        <v>7</v>
      </c>
      <c r="B17" s="1306">
        <v>769</v>
      </c>
      <c r="C17" s="330"/>
      <c r="D17" s="330"/>
      <c r="E17" s="330"/>
      <c r="F17" s="330"/>
    </row>
    <row r="18" spans="1:6">
      <c r="A18" s="1305" t="s">
        <v>8</v>
      </c>
      <c r="B18" s="1306">
        <v>1022</v>
      </c>
      <c r="C18" s="330"/>
      <c r="D18" s="330"/>
      <c r="E18" s="330"/>
      <c r="F18" s="330"/>
    </row>
    <row r="19" spans="1:6">
      <c r="A19" s="1305" t="s">
        <v>9</v>
      </c>
      <c r="B19" s="1306">
        <v>983</v>
      </c>
      <c r="C19" s="330"/>
      <c r="D19" s="330"/>
      <c r="E19" s="330"/>
      <c r="F19" s="330"/>
    </row>
    <row r="20" spans="1:6">
      <c r="A20" s="1305" t="s">
        <v>10</v>
      </c>
      <c r="B20" s="1306">
        <v>554</v>
      </c>
      <c r="C20" s="330"/>
      <c r="D20" s="330"/>
      <c r="E20" s="330"/>
      <c r="F20" s="330"/>
    </row>
    <row r="21" spans="1:6">
      <c r="A21" s="1305" t="s">
        <v>11</v>
      </c>
      <c r="B21" s="1306">
        <v>5218</v>
      </c>
      <c r="C21" s="330"/>
      <c r="D21" s="330"/>
      <c r="E21" s="330"/>
      <c r="F21" s="330"/>
    </row>
    <row r="22" spans="1:6">
      <c r="A22" s="1305" t="s">
        <v>12</v>
      </c>
      <c r="B22" s="1306">
        <v>18599</v>
      </c>
      <c r="C22" s="330"/>
      <c r="D22" s="330"/>
      <c r="E22" s="330"/>
      <c r="F22" s="330"/>
    </row>
    <row r="23" spans="1:6">
      <c r="A23" s="1305" t="s">
        <v>13</v>
      </c>
      <c r="B23" s="1306">
        <v>174</v>
      </c>
      <c r="C23" s="330"/>
      <c r="D23" s="330"/>
      <c r="E23" s="330"/>
      <c r="F23" s="330"/>
    </row>
    <row r="24" spans="1:6">
      <c r="A24" s="1305" t="s">
        <v>14</v>
      </c>
      <c r="B24" s="1306">
        <v>8</v>
      </c>
      <c r="C24" s="330"/>
      <c r="D24" s="330"/>
      <c r="E24" s="330"/>
      <c r="F24" s="330"/>
    </row>
    <row r="25" spans="1:6">
      <c r="A25" s="1305" t="s">
        <v>15</v>
      </c>
      <c r="B25" s="1306">
        <v>1543</v>
      </c>
      <c r="C25" s="330"/>
      <c r="D25" s="330"/>
      <c r="E25" s="330"/>
      <c r="F25" s="330"/>
    </row>
    <row r="26" spans="1:6">
      <c r="A26" s="1305" t="s">
        <v>16</v>
      </c>
      <c r="B26" s="1306">
        <v>291</v>
      </c>
      <c r="C26" s="330"/>
      <c r="D26" s="330"/>
      <c r="E26" s="330"/>
      <c r="F26" s="330"/>
    </row>
    <row r="27" spans="1:6">
      <c r="A27" s="1305" t="s">
        <v>17</v>
      </c>
      <c r="B27" s="1306">
        <v>5</v>
      </c>
      <c r="C27" s="330"/>
      <c r="D27" s="330"/>
      <c r="E27" s="330"/>
      <c r="F27" s="330"/>
    </row>
    <row r="28" spans="1:6" s="43" customFormat="1">
      <c r="A28" s="1307" t="s">
        <v>18</v>
      </c>
      <c r="B28" s="1308">
        <v>155764</v>
      </c>
      <c r="C28" s="336"/>
      <c r="D28" s="336"/>
      <c r="E28" s="336"/>
      <c r="F28" s="336"/>
    </row>
    <row r="29" spans="1:6">
      <c r="A29" s="1307" t="s">
        <v>909</v>
      </c>
      <c r="B29" s="1308">
        <v>165</v>
      </c>
      <c r="C29" s="336"/>
      <c r="D29" s="336"/>
      <c r="E29" s="336"/>
      <c r="F29" s="336"/>
    </row>
    <row r="30" spans="1:6">
      <c r="A30" s="1300" t="s">
        <v>910</v>
      </c>
      <c r="B30" s="1309">
        <v>59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3412.4470000000001</v>
      </c>
    </row>
    <row r="39" spans="1:6">
      <c r="A39" s="1305" t="s">
        <v>29</v>
      </c>
      <c r="B39" s="1305" t="s">
        <v>30</v>
      </c>
      <c r="C39" s="1306">
        <v>5179</v>
      </c>
      <c r="D39" s="1306">
        <v>76395593.096636504</v>
      </c>
      <c r="E39" s="1306">
        <v>7581</v>
      </c>
      <c r="F39" s="1306">
        <v>29617349</v>
      </c>
    </row>
    <row r="40" spans="1:6">
      <c r="A40" s="1305" t="s">
        <v>29</v>
      </c>
      <c r="B40" s="1305" t="s">
        <v>28</v>
      </c>
      <c r="C40" s="1306">
        <v>0</v>
      </c>
      <c r="D40" s="1306">
        <v>0</v>
      </c>
      <c r="E40" s="1306">
        <v>0</v>
      </c>
      <c r="F40" s="1306">
        <v>0</v>
      </c>
    </row>
    <row r="41" spans="1:6">
      <c r="A41" s="1305" t="s">
        <v>31</v>
      </c>
      <c r="B41" s="1305" t="s">
        <v>32</v>
      </c>
      <c r="C41" s="1306">
        <v>77</v>
      </c>
      <c r="D41" s="1306">
        <v>1591135.69407363</v>
      </c>
      <c r="E41" s="1306">
        <v>174</v>
      </c>
      <c r="F41" s="1306">
        <v>1474979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8</v>
      </c>
      <c r="F44" s="1306">
        <v>87789.21</v>
      </c>
    </row>
    <row r="45" spans="1:6">
      <c r="A45" s="1305" t="s">
        <v>31</v>
      </c>
      <c r="B45" s="1305" t="s">
        <v>36</v>
      </c>
      <c r="C45" s="1306">
        <v>0</v>
      </c>
      <c r="D45" s="1306">
        <v>0</v>
      </c>
      <c r="E45" s="1306">
        <v>3</v>
      </c>
      <c r="F45" s="1306">
        <v>47793.5</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30</v>
      </c>
      <c r="D48" s="1306">
        <v>789394.93823565403</v>
      </c>
      <c r="E48" s="1306">
        <v>31</v>
      </c>
      <c r="F48" s="1306">
        <v>1254650</v>
      </c>
    </row>
    <row r="49" spans="1:6">
      <c r="A49" s="1305" t="s">
        <v>31</v>
      </c>
      <c r="B49" s="1305" t="s">
        <v>39</v>
      </c>
      <c r="C49" s="1306">
        <v>0</v>
      </c>
      <c r="D49" s="1306">
        <v>0</v>
      </c>
      <c r="E49" s="1306">
        <v>0</v>
      </c>
      <c r="F49" s="1306">
        <v>0</v>
      </c>
    </row>
    <row r="50" spans="1:6">
      <c r="A50" s="1305" t="s">
        <v>31</v>
      </c>
      <c r="B50" s="1305" t="s">
        <v>40</v>
      </c>
      <c r="C50" s="1306">
        <v>7</v>
      </c>
      <c r="D50" s="1306">
        <v>664585.17319340701</v>
      </c>
      <c r="E50" s="1306">
        <v>13</v>
      </c>
      <c r="F50" s="1306">
        <v>470659.7</v>
      </c>
    </row>
    <row r="51" spans="1:6">
      <c r="A51" s="1305" t="s">
        <v>41</v>
      </c>
      <c r="B51" s="1305" t="s">
        <v>42</v>
      </c>
      <c r="C51" s="1306">
        <v>27</v>
      </c>
      <c r="D51" s="1306">
        <v>31965082.6507609</v>
      </c>
      <c r="E51" s="1306">
        <v>72</v>
      </c>
      <c r="F51" s="1306">
        <v>1427861</v>
      </c>
    </row>
    <row r="52" spans="1:6">
      <c r="A52" s="1305" t="s">
        <v>41</v>
      </c>
      <c r="B52" s="1305" t="s">
        <v>28</v>
      </c>
      <c r="C52" s="1306">
        <v>1</v>
      </c>
      <c r="D52" s="1306">
        <v>16903.182766940001</v>
      </c>
      <c r="E52" s="1306">
        <v>6</v>
      </c>
      <c r="F52" s="1306">
        <v>121069.2</v>
      </c>
    </row>
    <row r="53" spans="1:6">
      <c r="A53" s="1305" t="s">
        <v>43</v>
      </c>
      <c r="B53" s="1305" t="s">
        <v>44</v>
      </c>
      <c r="C53" s="1306">
        <v>147</v>
      </c>
      <c r="D53" s="1306">
        <v>2341464.7586003402</v>
      </c>
      <c r="E53" s="1306">
        <v>398</v>
      </c>
      <c r="F53" s="1306">
        <v>2469887</v>
      </c>
    </row>
    <row r="54" spans="1:6">
      <c r="A54" s="1305" t="s">
        <v>45</v>
      </c>
      <c r="B54" s="1305" t="s">
        <v>46</v>
      </c>
      <c r="C54" s="1306">
        <v>0</v>
      </c>
      <c r="D54" s="1306">
        <v>0</v>
      </c>
      <c r="E54" s="1306">
        <v>1</v>
      </c>
      <c r="F54" s="1306">
        <v>1124320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55</v>
      </c>
      <c r="D57" s="1306">
        <v>2841252.2959057302</v>
      </c>
      <c r="E57" s="1306">
        <v>59</v>
      </c>
      <c r="F57" s="1306">
        <v>1316225</v>
      </c>
    </row>
    <row r="58" spans="1:6">
      <c r="A58" s="1305" t="s">
        <v>48</v>
      </c>
      <c r="B58" s="1305" t="s">
        <v>50</v>
      </c>
      <c r="C58" s="1306">
        <v>13</v>
      </c>
      <c r="D58" s="1306">
        <v>686378.10661780694</v>
      </c>
      <c r="E58" s="1306">
        <v>16</v>
      </c>
      <c r="F58" s="1306">
        <v>160220.1</v>
      </c>
    </row>
    <row r="59" spans="1:6">
      <c r="A59" s="1305" t="s">
        <v>48</v>
      </c>
      <c r="B59" s="1305" t="s">
        <v>51</v>
      </c>
      <c r="C59" s="1306">
        <v>85</v>
      </c>
      <c r="D59" s="1306">
        <v>3072534.9467771798</v>
      </c>
      <c r="E59" s="1306">
        <v>163</v>
      </c>
      <c r="F59" s="1306">
        <v>4484312</v>
      </c>
    </row>
    <row r="60" spans="1:6">
      <c r="A60" s="1305" t="s">
        <v>48</v>
      </c>
      <c r="B60" s="1305" t="s">
        <v>52</v>
      </c>
      <c r="C60" s="1306">
        <v>51</v>
      </c>
      <c r="D60" s="1306">
        <v>1878935.1374819099</v>
      </c>
      <c r="E60" s="1306">
        <v>66</v>
      </c>
      <c r="F60" s="1306">
        <v>2259248</v>
      </c>
    </row>
    <row r="61" spans="1:6">
      <c r="A61" s="1305" t="s">
        <v>48</v>
      </c>
      <c r="B61" s="1305" t="s">
        <v>53</v>
      </c>
      <c r="C61" s="1306">
        <v>106</v>
      </c>
      <c r="D61" s="1306">
        <v>2582284.62613003</v>
      </c>
      <c r="E61" s="1306">
        <v>203</v>
      </c>
      <c r="F61" s="1306">
        <v>2142413</v>
      </c>
    </row>
    <row r="62" spans="1:6">
      <c r="A62" s="1305" t="s">
        <v>48</v>
      </c>
      <c r="B62" s="1305" t="s">
        <v>54</v>
      </c>
      <c r="C62" s="1306">
        <v>7</v>
      </c>
      <c r="D62" s="1306">
        <v>960855.835942331</v>
      </c>
      <c r="E62" s="1306">
        <v>10</v>
      </c>
      <c r="F62" s="1306">
        <v>182425</v>
      </c>
    </row>
    <row r="63" spans="1:6">
      <c r="A63" s="1305" t="s">
        <v>48</v>
      </c>
      <c r="B63" s="1305" t="s">
        <v>28</v>
      </c>
      <c r="C63" s="1306">
        <v>86</v>
      </c>
      <c r="D63" s="1306">
        <v>2187265.3327251878</v>
      </c>
      <c r="E63" s="1306">
        <v>108</v>
      </c>
      <c r="F63" s="1306">
        <v>2086047.7790000001</v>
      </c>
    </row>
    <row r="64" spans="1:6">
      <c r="A64" s="1305" t="s">
        <v>55</v>
      </c>
      <c r="B64" s="1305" t="s">
        <v>56</v>
      </c>
      <c r="C64" s="1306">
        <v>0</v>
      </c>
      <c r="D64" s="1306">
        <v>0</v>
      </c>
      <c r="E64" s="1306">
        <v>0</v>
      </c>
      <c r="F64" s="1306">
        <v>0</v>
      </c>
    </row>
    <row r="65" spans="1:6">
      <c r="A65" s="1305" t="s">
        <v>55</v>
      </c>
      <c r="B65" s="1305" t="s">
        <v>28</v>
      </c>
      <c r="C65" s="1306">
        <v>4</v>
      </c>
      <c r="D65" s="1306">
        <v>61554.634936528702</v>
      </c>
      <c r="E65" s="1306">
        <v>4</v>
      </c>
      <c r="F65" s="1306">
        <v>49660.66</v>
      </c>
    </row>
    <row r="66" spans="1:6">
      <c r="A66" s="1305" t="s">
        <v>55</v>
      </c>
      <c r="B66" s="1305" t="s">
        <v>57</v>
      </c>
      <c r="C66" s="1306">
        <v>0</v>
      </c>
      <c r="D66" s="1306">
        <v>0</v>
      </c>
      <c r="E66" s="1306">
        <v>9</v>
      </c>
      <c r="F66" s="1306">
        <v>275012.40000000002</v>
      </c>
    </row>
    <row r="67" spans="1:6">
      <c r="A67" s="1307" t="s">
        <v>55</v>
      </c>
      <c r="B67" s="1307" t="s">
        <v>58</v>
      </c>
      <c r="C67" s="1306">
        <v>0</v>
      </c>
      <c r="D67" s="1306">
        <v>0</v>
      </c>
      <c r="E67" s="1306">
        <v>0</v>
      </c>
      <c r="F67" s="1306">
        <v>0</v>
      </c>
    </row>
    <row r="68" spans="1:6">
      <c r="A68" s="1300" t="s">
        <v>55</v>
      </c>
      <c r="B68" s="1300" t="s">
        <v>59</v>
      </c>
      <c r="C68" s="1309">
        <v>10</v>
      </c>
      <c r="D68" s="1309">
        <v>291344.66189567902</v>
      </c>
      <c r="E68" s="1309">
        <v>22</v>
      </c>
      <c r="F68" s="1309">
        <v>579736.19999999995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27552279</v>
      </c>
      <c r="E73" s="450"/>
      <c r="F73" s="330"/>
    </row>
    <row r="74" spans="1:6">
      <c r="A74" s="1305" t="s">
        <v>63</v>
      </c>
      <c r="B74" s="1305" t="s">
        <v>710</v>
      </c>
      <c r="C74" s="1319" t="s">
        <v>712</v>
      </c>
      <c r="D74" s="1320">
        <v>4817152.9869075054</v>
      </c>
      <c r="E74" s="450"/>
      <c r="F74" s="330"/>
    </row>
    <row r="75" spans="1:6">
      <c r="A75" s="1305" t="s">
        <v>64</v>
      </c>
      <c r="B75" s="1305" t="s">
        <v>709</v>
      </c>
      <c r="C75" s="1319" t="s">
        <v>713</v>
      </c>
      <c r="D75" s="1320">
        <v>37075399</v>
      </c>
      <c r="E75" s="450"/>
      <c r="F75" s="330"/>
    </row>
    <row r="76" spans="1:6">
      <c r="A76" s="1305" t="s">
        <v>64</v>
      </c>
      <c r="B76" s="1305" t="s">
        <v>710</v>
      </c>
      <c r="C76" s="1319" t="s">
        <v>714</v>
      </c>
      <c r="D76" s="1320">
        <v>3239938.986907505</v>
      </c>
      <c r="E76" s="450"/>
      <c r="F76" s="330"/>
    </row>
    <row r="77" spans="1:6">
      <c r="A77" s="1305" t="s">
        <v>65</v>
      </c>
      <c r="B77" s="1305" t="s">
        <v>709</v>
      </c>
      <c r="C77" s="1319" t="s">
        <v>715</v>
      </c>
      <c r="D77" s="1320">
        <v>65489902</v>
      </c>
      <c r="E77" s="450"/>
      <c r="F77" s="330"/>
    </row>
    <row r="78" spans="1:6">
      <c r="A78" s="1300" t="s">
        <v>65</v>
      </c>
      <c r="B78" s="1300" t="s">
        <v>710</v>
      </c>
      <c r="C78" s="1300" t="s">
        <v>716</v>
      </c>
      <c r="D78" s="1321">
        <v>16442200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387516.0261849899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3989.3743943085815</v>
      </c>
      <c r="C91" s="330"/>
      <c r="D91" s="330"/>
      <c r="E91" s="330"/>
      <c r="F91" s="330"/>
    </row>
    <row r="92" spans="1:6">
      <c r="A92" s="1300" t="s">
        <v>68</v>
      </c>
      <c r="B92" s="1301">
        <v>1566.2614426464861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3370</v>
      </c>
      <c r="C97" s="330"/>
      <c r="D97" s="330"/>
      <c r="E97" s="330"/>
      <c r="F97" s="330"/>
    </row>
    <row r="98" spans="1:6">
      <c r="A98" s="1305" t="s">
        <v>71</v>
      </c>
      <c r="B98" s="1306">
        <v>1</v>
      </c>
      <c r="C98" s="330"/>
      <c r="D98" s="330"/>
      <c r="E98" s="330"/>
      <c r="F98" s="330"/>
    </row>
    <row r="99" spans="1:6">
      <c r="A99" s="1305" t="s">
        <v>72</v>
      </c>
      <c r="B99" s="1306">
        <v>134</v>
      </c>
      <c r="C99" s="330"/>
      <c r="D99" s="330"/>
      <c r="E99" s="330"/>
      <c r="F99" s="330"/>
    </row>
    <row r="100" spans="1:6">
      <c r="A100" s="1305" t="s">
        <v>73</v>
      </c>
      <c r="B100" s="1306">
        <v>520</v>
      </c>
      <c r="C100" s="330"/>
      <c r="D100" s="330"/>
      <c r="E100" s="330"/>
      <c r="F100" s="330"/>
    </row>
    <row r="101" spans="1:6">
      <c r="A101" s="1305" t="s">
        <v>74</v>
      </c>
      <c r="B101" s="1306">
        <v>149</v>
      </c>
      <c r="C101" s="330"/>
      <c r="D101" s="330"/>
      <c r="E101" s="330"/>
      <c r="F101" s="330"/>
    </row>
    <row r="102" spans="1:6">
      <c r="A102" s="1305" t="s">
        <v>75</v>
      </c>
      <c r="B102" s="1306">
        <v>177</v>
      </c>
      <c r="C102" s="330"/>
      <c r="D102" s="330"/>
      <c r="E102" s="330"/>
      <c r="F102" s="330"/>
    </row>
    <row r="103" spans="1:6">
      <c r="A103" s="1305" t="s">
        <v>76</v>
      </c>
      <c r="B103" s="1306">
        <v>199</v>
      </c>
      <c r="C103" s="330"/>
      <c r="D103" s="330"/>
      <c r="E103" s="330"/>
      <c r="F103" s="330"/>
    </row>
    <row r="104" spans="1:6">
      <c r="A104" s="1305" t="s">
        <v>77</v>
      </c>
      <c r="B104" s="1306">
        <v>1749</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16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93</v>
      </c>
      <c r="C129" s="330"/>
      <c r="D129" s="330"/>
      <c r="E129" s="330"/>
      <c r="F129" s="330"/>
    </row>
    <row r="130" spans="1:6">
      <c r="A130" s="1305" t="s">
        <v>294</v>
      </c>
      <c r="B130" s="1306">
        <v>3</v>
      </c>
      <c r="C130" s="330"/>
      <c r="D130" s="330"/>
      <c r="E130" s="330"/>
      <c r="F130" s="330"/>
    </row>
    <row r="131" spans="1:6">
      <c r="A131" s="1305" t="s">
        <v>295</v>
      </c>
      <c r="B131" s="1306">
        <v>1</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54731.344626665865</v>
      </c>
      <c r="C3" s="43" t="s">
        <v>169</v>
      </c>
      <c r="D3" s="43"/>
      <c r="E3" s="154"/>
      <c r="F3" s="43"/>
      <c r="G3" s="43"/>
      <c r="H3" s="43"/>
      <c r="I3" s="43"/>
      <c r="J3" s="43"/>
      <c r="K3" s="96"/>
    </row>
    <row r="4" spans="1:11">
      <c r="A4" s="359" t="s">
        <v>170</v>
      </c>
      <c r="B4" s="49">
        <f>IF(ISERROR('SEAP template'!B78+'SEAP template'!C78),0,'SEAP template'!B78+'SEAP template'!C78)</f>
        <v>18565.135836955065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2214.7517647058821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0.18650161030867024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3163.9310924369752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18585.000000000004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0.17024111339451034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1124.32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1124.32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0.18650161030867024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209.68749050224412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29617.348999999998</v>
      </c>
      <c r="C5" s="17">
        <f>IF(ISERROR('Eigen informatie GS &amp; warmtenet'!B57),0,'Eigen informatie GS &amp; warmtenet'!B57)</f>
        <v>0</v>
      </c>
      <c r="D5" s="30">
        <f>(SUM(HH_hh_gas_kWh,HH_rest_gas_kWh)/1000)*0.902</f>
        <v>68908.82497316612</v>
      </c>
      <c r="E5" s="17">
        <f>B46*B57</f>
        <v>27759.91598067592</v>
      </c>
      <c r="F5" s="17">
        <f>B51*B62</f>
        <v>0</v>
      </c>
      <c r="G5" s="18"/>
      <c r="H5" s="17"/>
      <c r="I5" s="17"/>
      <c r="J5" s="17">
        <f>B50*B61+C50*C61</f>
        <v>493.48119790079647</v>
      </c>
      <c r="K5" s="17"/>
      <c r="L5" s="17"/>
      <c r="M5" s="17"/>
      <c r="N5" s="17">
        <f>B48*B59+C48*C59</f>
        <v>22259.175994628124</v>
      </c>
      <c r="O5" s="17">
        <f>B69*B70*B71</f>
        <v>170.40333333333334</v>
      </c>
      <c r="P5" s="17">
        <f>B77*B78*B79/1000-B77*B78*B79/1000/B80</f>
        <v>591.06666666666661</v>
      </c>
    </row>
    <row r="6" spans="1:16">
      <c r="A6" s="16" t="s">
        <v>630</v>
      </c>
      <c r="B6" s="763">
        <f>kWh_PV_kleiner_dan_10kW</f>
        <v>3989.3743943085815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33606.723394308581</v>
      </c>
      <c r="C8" s="21">
        <f>C5</f>
        <v>0</v>
      </c>
      <c r="D8" s="21">
        <f>D5</f>
        <v>68908.82497316612</v>
      </c>
      <c r="E8" s="21">
        <f>E5</f>
        <v>27759.91598067592</v>
      </c>
      <c r="F8" s="21">
        <f>F5</f>
        <v>0</v>
      </c>
      <c r="G8" s="21"/>
      <c r="H8" s="21"/>
      <c r="I8" s="21"/>
      <c r="J8" s="21">
        <f>J5</f>
        <v>493.48119790079647</v>
      </c>
      <c r="K8" s="21"/>
      <c r="L8" s="21">
        <f>L5</f>
        <v>0</v>
      </c>
      <c r="M8" s="21">
        <f>M5</f>
        <v>0</v>
      </c>
      <c r="N8" s="21">
        <f>N5</f>
        <v>22259.175994628124</v>
      </c>
      <c r="O8" s="21">
        <f>O5</f>
        <v>170.40333333333334</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0.18650161030867024</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6267.7080302366103</v>
      </c>
      <c r="C12" s="23">
        <f ca="1">C10*C8</f>
        <v>0</v>
      </c>
      <c r="D12" s="23">
        <f>D8*D10</f>
        <v>13919.582644579557</v>
      </c>
      <c r="E12" s="23">
        <f>E10*E8</f>
        <v>6301.5009276134342</v>
      </c>
      <c r="F12" s="23">
        <f>F10*F8</f>
        <v>0</v>
      </c>
      <c r="G12" s="23"/>
      <c r="H12" s="23"/>
      <c r="I12" s="23"/>
      <c r="J12" s="23">
        <f>J10*J8</f>
        <v>174.69234405688195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7312</v>
      </c>
      <c r="C28" s="36"/>
      <c r="D28" s="228"/>
    </row>
    <row r="29" spans="1:7" s="15" customFormat="1">
      <c r="A29" s="230" t="s">
        <v>737</v>
      </c>
      <c r="B29" s="37">
        <f>SUM(HH_hh_gas_aantal,HH_rest_gas_aantal)</f>
        <v>5179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5179</v>
      </c>
      <c r="C32" s="167">
        <f>IF(ISERROR(B32/SUM($B$32,$B$34,$B$35,$B$36,$B$38,$B$39)*100),0,B32/SUM($B$32,$B$34,$B$35,$B$36,$B$38,$B$39)*100)</f>
        <v>71.1303392391155</v>
      </c>
      <c r="D32" s="233"/>
      <c r="G32" s="15"/>
    </row>
    <row r="33" spans="1:7">
      <c r="A33" s="171" t="s">
        <v>71</v>
      </c>
      <c r="B33" s="34" t="s">
        <v>110</v>
      </c>
      <c r="C33" s="167"/>
      <c r="D33" s="233"/>
      <c r="G33" s="15"/>
    </row>
    <row r="34" spans="1:7">
      <c r="A34" s="171" t="s">
        <v>72</v>
      </c>
      <c r="B34" s="33">
        <f>IF((($B$28-$B$32-$B$39-$B$77-$B$38)*C20/100)&lt;0,0,($B$28-$B$32-$B$39-$B$77-$B$38)*C20/100)</f>
        <v>347.74919053549189</v>
      </c>
      <c r="C34" s="167">
        <f>IF(ISERROR(B34/SUM($B$32,$B$34,$B$35,$B$36,$B$38,$B$39)*100),0,B34/SUM($B$32,$B$34,$B$35,$B$36,$B$38,$B$39)*100)</f>
        <v>4.7761185350294175</v>
      </c>
      <c r="D34" s="233"/>
      <c r="G34" s="15"/>
    </row>
    <row r="35" spans="1:7">
      <c r="A35" s="171" t="s">
        <v>73</v>
      </c>
      <c r="B35" s="33">
        <f>IF((($B$28-$B$32-$B$39-$B$77-$B$38)*C21/100)&lt;0,0,($B$28-$B$32-$B$39-$B$77-$B$38)*C21/100)</f>
        <v>1349.474470734745</v>
      </c>
      <c r="C35" s="167">
        <f>IF(ISERROR(B35/SUM($B$32,$B$34,$B$35,$B$36,$B$38,$B$39)*100),0,B35/SUM($B$32,$B$34,$B$35,$B$36,$B$38,$B$39)*100)</f>
        <v>18.534191329964909</v>
      </c>
      <c r="D35" s="233"/>
      <c r="G35" s="15"/>
    </row>
    <row r="36" spans="1:7">
      <c r="A36" s="171" t="s">
        <v>74</v>
      </c>
      <c r="B36" s="33">
        <f>IF((($B$28-$B$32-$B$39-$B$77-$B$38)*C22/100)&lt;0,0,($B$28-$B$32-$B$39-$B$77-$B$38)*C22/100)</f>
        <v>386.67633872976336</v>
      </c>
      <c r="C36" s="167">
        <f>IF(ISERROR(B36/SUM($B$32,$B$34,$B$35,$B$36,$B$38,$B$39)*100),0,B36/SUM($B$32,$B$34,$B$35,$B$36,$B$38,$B$39)*100)</f>
        <v>5.3107586695476359</v>
      </c>
      <c r="D36" s="233"/>
      <c r="G36" s="15"/>
    </row>
    <row r="37" spans="1:7">
      <c r="A37" s="171" t="s">
        <v>75</v>
      </c>
      <c r="B37" s="34" t="s">
        <v>110</v>
      </c>
      <c r="C37" s="167"/>
      <c r="D37" s="173"/>
      <c r="G37" s="15"/>
    </row>
    <row r="38" spans="1:7">
      <c r="A38" s="171" t="s">
        <v>76</v>
      </c>
      <c r="B38" s="33">
        <f>IF((B24-(B29-B18)*0.1)&lt;0,0,B24-(B29-B18)*0.1)</f>
        <v>18.099999999999994</v>
      </c>
      <c r="C38" s="167">
        <f>IF(ISERROR(B38/SUM($B$32,$B$34,$B$35,$B$36,$B$38,$B$39)*100),0,B38/SUM($B$32,$B$34,$B$35,$B$36,$B$38,$B$39)*100)</f>
        <v>0.24859222634253531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5179</v>
      </c>
      <c r="C44" s="34" t="s">
        <v>110</v>
      </c>
      <c r="D44" s="174"/>
    </row>
    <row r="45" spans="1:7">
      <c r="A45" s="171" t="s">
        <v>71</v>
      </c>
      <c r="B45" s="33" t="str">
        <f t="shared" si="0"/>
        <v>-</v>
      </c>
      <c r="C45" s="34" t="s">
        <v>110</v>
      </c>
      <c r="D45" s="174"/>
    </row>
    <row r="46" spans="1:7">
      <c r="A46" s="171" t="s">
        <v>72</v>
      </c>
      <c r="B46" s="33">
        <f t="shared" si="0"/>
        <v>347.74919053549189</v>
      </c>
      <c r="C46" s="34" t="s">
        <v>110</v>
      </c>
      <c r="D46" s="174"/>
    </row>
    <row r="47" spans="1:7">
      <c r="A47" s="171" t="s">
        <v>73</v>
      </c>
      <c r="B47" s="33">
        <f t="shared" si="0"/>
        <v>1349.474470734745</v>
      </c>
      <c r="C47" s="34" t="s">
        <v>110</v>
      </c>
      <c r="D47" s="174"/>
    </row>
    <row r="48" spans="1:7">
      <c r="A48" s="171" t="s">
        <v>74</v>
      </c>
      <c r="B48" s="33">
        <f t="shared" si="0"/>
        <v>386.67633872976336</v>
      </c>
      <c r="C48" s="33">
        <f>B48*10</f>
        <v>3866.7633872976335</v>
      </c>
      <c r="D48" s="234"/>
    </row>
    <row r="49" spans="1:6">
      <c r="A49" s="171" t="s">
        <v>75</v>
      </c>
      <c r="B49" s="33" t="str">
        <f t="shared" si="0"/>
        <v>-</v>
      </c>
      <c r="C49" s="34" t="s">
        <v>110</v>
      </c>
      <c r="D49" s="234"/>
    </row>
    <row r="50" spans="1:6">
      <c r="A50" s="171" t="s">
        <v>76</v>
      </c>
      <c r="B50" s="33">
        <f t="shared" si="0"/>
        <v>18.099999999999994</v>
      </c>
      <c r="C50" s="33">
        <f>B50*2</f>
        <v>36.199999999999989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12630.890879</v>
      </c>
      <c r="C5" s="17">
        <f>IF(ISERROR('Eigen informatie GS &amp; warmtenet'!B58),0,'Eigen informatie GS &amp; warmtenet'!B58)</f>
        <v>0</v>
      </c>
      <c r="D5" s="30">
        <f>SUM(D6:D12)</f>
        <v>12816.974665985319</v>
      </c>
      <c r="E5" s="17">
        <f>SUM(E6:E12)</f>
        <v>172.83374084250315</v>
      </c>
      <c r="F5" s="17">
        <f>SUM(F6:F12)</f>
        <v>1977.1729799408429</v>
      </c>
      <c r="G5" s="18"/>
      <c r="H5" s="17"/>
      <c r="I5" s="17"/>
      <c r="J5" s="17">
        <f>SUM(J6:J12)</f>
        <v>0</v>
      </c>
      <c r="K5" s="17"/>
      <c r="L5" s="17"/>
      <c r="M5" s="17"/>
      <c r="N5" s="17">
        <f>SUM(N6:N12)</f>
        <v>1164.947003553408</v>
      </c>
      <c r="O5" s="17">
        <f>B38*B39*B40</f>
        <v>4.6900000000000004</v>
      </c>
      <c r="P5" s="17">
        <f>B46*B47*B48/1000-B46*B47*B48/1000/B49</f>
        <v>19.066666666666666</v>
      </c>
      <c r="R5" s="32"/>
    </row>
    <row r="6" spans="1:18">
      <c r="A6" s="32" t="s">
        <v>53</v>
      </c>
      <c r="B6" s="37">
        <f>B26</f>
        <v>2142.413</v>
      </c>
      <c r="C6" s="33"/>
      <c r="D6" s="37">
        <f>IF(ISERROR(TER_kantoor_gas_kWh/1000),0,TER_kantoor_gas_kWh/1000)*0.902</f>
        <v>2329.2207327692872</v>
      </c>
      <c r="E6" s="33">
        <f>$C$26*'E Balans VL '!I12/100/3.6*1000000</f>
        <v>6.206884797557696</v>
      </c>
      <c r="F6" s="33">
        <f>$C$26*('E Balans VL '!L12+'E Balans VL '!N12)/100/3.6*1000000</f>
        <v>242.47395058200439</v>
      </c>
      <c r="G6" s="34"/>
      <c r="H6" s="33"/>
      <c r="I6" s="33"/>
      <c r="J6" s="33">
        <f>$C$26*('E Balans VL '!D12+'E Balans VL '!E12)/100/3.6*1000000</f>
        <v>0</v>
      </c>
      <c r="K6" s="33"/>
      <c r="L6" s="33"/>
      <c r="M6" s="33"/>
      <c r="N6" s="33">
        <f>$C$26*'E Balans VL '!Y12/100/3.6*1000000</f>
        <v>21.443975529619038</v>
      </c>
      <c r="O6" s="33"/>
      <c r="P6" s="33"/>
      <c r="R6" s="32"/>
    </row>
    <row r="7" spans="1:18">
      <c r="A7" s="32" t="s">
        <v>52</v>
      </c>
      <c r="B7" s="37">
        <f t="shared" ref="B7:B12" si="0">B27</f>
        <v>2259.248</v>
      </c>
      <c r="C7" s="33"/>
      <c r="D7" s="37">
        <f>IF(ISERROR(TER_horeca_gas_kWh/1000),0,TER_horeca_gas_kWh/1000)*0.902</f>
        <v>1694.7994940086828</v>
      </c>
      <c r="E7" s="33">
        <f>$C$27*'E Balans VL '!I9/100/3.6*1000000</f>
        <v>94.836918825841551</v>
      </c>
      <c r="F7" s="33">
        <f>$C$27*('E Balans VL '!L9+'E Balans VL '!N9)/100/3.6*1000000</f>
        <v>485.44576304375897</v>
      </c>
      <c r="G7" s="34"/>
      <c r="H7" s="33"/>
      <c r="I7" s="33"/>
      <c r="J7" s="33">
        <f>$C$27*('E Balans VL '!D9+'E Balans VL '!E9)/100/3.6*1000000</f>
        <v>0</v>
      </c>
      <c r="K7" s="33"/>
      <c r="L7" s="33"/>
      <c r="M7" s="33"/>
      <c r="N7" s="33">
        <f>$C$27*'E Balans VL '!Y9/100/3.6*1000000</f>
        <v>0.58218845175947875</v>
      </c>
      <c r="O7" s="33"/>
      <c r="P7" s="33"/>
      <c r="R7" s="32"/>
    </row>
    <row r="8" spans="1:18">
      <c r="A8" s="6" t="s">
        <v>51</v>
      </c>
      <c r="B8" s="37">
        <f t="shared" si="0"/>
        <v>4484.3119999999999</v>
      </c>
      <c r="C8" s="33"/>
      <c r="D8" s="37">
        <f>IF(ISERROR(TER_handel_gas_kWh/1000),0,TER_handel_gas_kWh/1000)*0.902</f>
        <v>2771.4265219930162</v>
      </c>
      <c r="E8" s="33">
        <f>$C$28*'E Balans VL '!I13/100/3.6*1000000</f>
        <v>48.165243066784249</v>
      </c>
      <c r="F8" s="33">
        <f>$C$28*('E Balans VL '!L13+'E Balans VL '!N13)/100/3.6*1000000</f>
        <v>580.53121908511605</v>
      </c>
      <c r="G8" s="34"/>
      <c r="H8" s="33"/>
      <c r="I8" s="33"/>
      <c r="J8" s="33">
        <f>$C$28*('E Balans VL '!D13+'E Balans VL '!E13)/100/3.6*1000000</f>
        <v>0</v>
      </c>
      <c r="K8" s="33"/>
      <c r="L8" s="33"/>
      <c r="M8" s="33"/>
      <c r="N8" s="33">
        <f>$C$28*'E Balans VL '!Y13/100/3.6*1000000</f>
        <v>36.376983798081334</v>
      </c>
      <c r="O8" s="33"/>
      <c r="P8" s="33"/>
      <c r="R8" s="32"/>
    </row>
    <row r="9" spans="1:18">
      <c r="A9" s="32" t="s">
        <v>50</v>
      </c>
      <c r="B9" s="37">
        <f t="shared" si="0"/>
        <v>160.2201</v>
      </c>
      <c r="C9" s="33"/>
      <c r="D9" s="37">
        <f>IF(ISERROR(TER_gezond_gas_kWh/1000),0,TER_gezond_gas_kWh/1000)*0.902</f>
        <v>619.11305216926189</v>
      </c>
      <c r="E9" s="33">
        <f>$C$29*'E Balans VL '!I10/100/3.6*1000000</f>
        <v>0.1275455623584415</v>
      </c>
      <c r="F9" s="33">
        <f>$C$29*('E Balans VL '!L10+'E Balans VL '!N10)/100/3.6*1000000</f>
        <v>19.477068543993024</v>
      </c>
      <c r="G9" s="34"/>
      <c r="H9" s="33"/>
      <c r="I9" s="33"/>
      <c r="J9" s="33">
        <f>$C$29*('E Balans VL '!D10+'E Balans VL '!E10)/100/3.6*1000000</f>
        <v>0</v>
      </c>
      <c r="K9" s="33"/>
      <c r="L9" s="33"/>
      <c r="M9" s="33"/>
      <c r="N9" s="33">
        <f>$C$29*'E Balans VL '!Y10/100/3.6*1000000</f>
        <v>1.2942155202734649</v>
      </c>
      <c r="O9" s="33"/>
      <c r="P9" s="33"/>
      <c r="R9" s="32"/>
    </row>
    <row r="10" spans="1:18">
      <c r="A10" s="32" t="s">
        <v>49</v>
      </c>
      <c r="B10" s="37">
        <f t="shared" si="0"/>
        <v>1316.2249999999999</v>
      </c>
      <c r="C10" s="33"/>
      <c r="D10" s="37">
        <f>IF(ISERROR(TER_ander_gas_kWh/1000),0,TER_ander_gas_kWh/1000)*0.902</f>
        <v>2562.8095709069685</v>
      </c>
      <c r="E10" s="33">
        <f>$C$30*'E Balans VL '!I14/100/3.6*1000000</f>
        <v>4.5107722205980068</v>
      </c>
      <c r="F10" s="33">
        <f>$C$30*('E Balans VL '!L14+'E Balans VL '!N14)/100/3.6*1000000</f>
        <v>293.99117991635575</v>
      </c>
      <c r="G10" s="34"/>
      <c r="H10" s="33"/>
      <c r="I10" s="33"/>
      <c r="J10" s="33">
        <f>$C$30*('E Balans VL '!D14+'E Balans VL '!E14)/100/3.6*1000000</f>
        <v>0</v>
      </c>
      <c r="K10" s="33"/>
      <c r="L10" s="33"/>
      <c r="M10" s="33"/>
      <c r="N10" s="33">
        <f>$C$30*'E Balans VL '!Y14/100/3.6*1000000</f>
        <v>927.1560803966222</v>
      </c>
      <c r="O10" s="33"/>
      <c r="P10" s="33"/>
      <c r="R10" s="32"/>
    </row>
    <row r="11" spans="1:18">
      <c r="A11" s="32" t="s">
        <v>54</v>
      </c>
      <c r="B11" s="37">
        <f t="shared" si="0"/>
        <v>182.42500000000001</v>
      </c>
      <c r="C11" s="33"/>
      <c r="D11" s="37">
        <f>IF(ISERROR(TER_onderwijs_gas_kWh/1000),0,TER_onderwijs_gas_kWh/1000)*0.902</f>
        <v>866.69196401998261</v>
      </c>
      <c r="E11" s="33">
        <f>$C$31*'E Balans VL '!I11/100/3.6*1000000</f>
        <v>0.12610478425216309</v>
      </c>
      <c r="F11" s="33">
        <f>$C$31*('E Balans VL '!L11+'E Balans VL '!N11)/100/3.6*1000000</f>
        <v>47.753565913301671</v>
      </c>
      <c r="G11" s="34"/>
      <c r="H11" s="33"/>
      <c r="I11" s="33"/>
      <c r="J11" s="33">
        <f>$C$31*('E Balans VL '!D11+'E Balans VL '!E11)/100/3.6*1000000</f>
        <v>0</v>
      </c>
      <c r="K11" s="33"/>
      <c r="L11" s="33"/>
      <c r="M11" s="33"/>
      <c r="N11" s="33">
        <f>$C$31*'E Balans VL '!Y11/100/3.6*1000000</f>
        <v>0.18158854975057279</v>
      </c>
      <c r="O11" s="33"/>
      <c r="P11" s="33"/>
      <c r="R11" s="32"/>
    </row>
    <row r="12" spans="1:18">
      <c r="A12" s="32" t="s">
        <v>259</v>
      </c>
      <c r="B12" s="37">
        <f t="shared" si="0"/>
        <v>2086.047779</v>
      </c>
      <c r="C12" s="33"/>
      <c r="D12" s="37">
        <f>IF(ISERROR(TER_rest_gas_kWh/1000),0,TER_rest_gas_kWh/1000)*0.902</f>
        <v>1972.9133301181196</v>
      </c>
      <c r="E12" s="33">
        <f>$C$32*'E Balans VL '!I8/100/3.6*1000000</f>
        <v>18.860271585111033</v>
      </c>
      <c r="F12" s="33">
        <f>$C$32*('E Balans VL '!L8+'E Balans VL '!N8)/100/3.6*1000000</f>
        <v>307.50023285631306</v>
      </c>
      <c r="G12" s="34"/>
      <c r="H12" s="33"/>
      <c r="I12" s="33"/>
      <c r="J12" s="33">
        <f>$C$32*('E Balans VL '!D8+'E Balans VL '!E8)/100/3.6*1000000</f>
        <v>0</v>
      </c>
      <c r="K12" s="33"/>
      <c r="L12" s="33"/>
      <c r="M12" s="33"/>
      <c r="N12" s="33">
        <f>$C$32*'E Balans VL '!Y8/100/3.6*1000000</f>
        <v>177.91197130730183</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12630.890879</v>
      </c>
      <c r="C16" s="21">
        <f t="shared" ca="1" si="1"/>
        <v>0</v>
      </c>
      <c r="D16" s="21">
        <f t="shared" ca="1" si="1"/>
        <v>12816.974665985319</v>
      </c>
      <c r="E16" s="21">
        <f t="shared" si="1"/>
        <v>172.83374084250315</v>
      </c>
      <c r="F16" s="21">
        <f t="shared" ca="1" si="1"/>
        <v>1977.1729799408429</v>
      </c>
      <c r="G16" s="21">
        <f t="shared" si="1"/>
        <v>0</v>
      </c>
      <c r="H16" s="21">
        <f t="shared" si="1"/>
        <v>0</v>
      </c>
      <c r="I16" s="21">
        <f t="shared" si="1"/>
        <v>0</v>
      </c>
      <c r="J16" s="21">
        <f t="shared" si="1"/>
        <v>0</v>
      </c>
      <c r="K16" s="21">
        <f t="shared" si="1"/>
        <v>0</v>
      </c>
      <c r="L16" s="21">
        <f t="shared" ca="1" si="1"/>
        <v>0</v>
      </c>
      <c r="M16" s="21">
        <f t="shared" si="1"/>
        <v>0</v>
      </c>
      <c r="N16" s="21">
        <f t="shared" ca="1" si="1"/>
        <v>1164.947003553408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0.18650161030867024</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2355.6814885665954</v>
      </c>
      <c r="C20" s="23">
        <f t="shared" ref="C20:P20" ca="1" si="2">C16*C18</f>
        <v>0</v>
      </c>
      <c r="D20" s="23">
        <f t="shared" ca="1" si="2"/>
        <v>2589.0288825290345</v>
      </c>
      <c r="E20" s="23">
        <f t="shared" si="2"/>
        <v>39.233259171248214</v>
      </c>
      <c r="F20" s="23">
        <f t="shared" ca="1" si="2"/>
        <v>527.90518564420506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2142.413</v>
      </c>
      <c r="C26" s="39">
        <f>IF(ISERROR(B26*3.6/1000000/'E Balans VL '!Z12*100),0,B26*3.6/1000000/'E Balans VL '!Z12*100)</f>
        <v>4.706057842245568E-2</v>
      </c>
      <c r="D26" s="237" t="s">
        <v>691</v>
      </c>
      <c r="F26" s="6"/>
    </row>
    <row r="27" spans="1:18">
      <c r="A27" s="231" t="s">
        <v>52</v>
      </c>
      <c r="B27" s="33">
        <f>IF(ISERROR(TER_horeca_ele_kWh/1000),0,TER_horeca_ele_kWh/1000)</f>
        <v>2259.248</v>
      </c>
      <c r="C27" s="39">
        <f>IF(ISERROR(B27*3.6/1000000/'E Balans VL '!Z9*100),0,B27*3.6/1000000/'E Balans VL '!Z9*100)</f>
        <v>0.18155309725005486</v>
      </c>
      <c r="D27" s="237" t="s">
        <v>691</v>
      </c>
      <c r="F27" s="6"/>
    </row>
    <row r="28" spans="1:18">
      <c r="A28" s="171" t="s">
        <v>51</v>
      </c>
      <c r="B28" s="33">
        <f>IF(ISERROR(TER_handel_ele_kWh/1000),0,TER_handel_ele_kWh/1000)</f>
        <v>4484.3119999999999</v>
      </c>
      <c r="C28" s="39">
        <f>IF(ISERROR(B28*3.6/1000000/'E Balans VL '!Z13*100),0,B28*3.6/1000000/'E Balans VL '!Z13*100)</f>
        <v>0.13259797303385859</v>
      </c>
      <c r="D28" s="237" t="s">
        <v>691</v>
      </c>
      <c r="F28" s="6"/>
    </row>
    <row r="29" spans="1:18">
      <c r="A29" s="231" t="s">
        <v>50</v>
      </c>
      <c r="B29" s="33">
        <f>IF(ISERROR(TER_gezond_ele_kWh/1000),0,TER_gezond_ele_kWh/1000)</f>
        <v>160.2201</v>
      </c>
      <c r="C29" s="39">
        <f>IF(ISERROR(B29*3.6/1000000/'E Balans VL '!Z10*100),0,B29*3.6/1000000/'E Balans VL '!Z10*100)</f>
        <v>1.8052668751653015E-2</v>
      </c>
      <c r="D29" s="237" t="s">
        <v>691</v>
      </c>
      <c r="F29" s="6"/>
    </row>
    <row r="30" spans="1:18">
      <c r="A30" s="231" t="s">
        <v>49</v>
      </c>
      <c r="B30" s="33">
        <f>IF(ISERROR(TER_ander_ele_kWh/1000),0,TER_ander_ele_kWh/1000)</f>
        <v>1316.2249999999999</v>
      </c>
      <c r="C30" s="39">
        <f>IF(ISERROR(B30*3.6/1000000/'E Balans VL '!Z14*100),0,B30*3.6/1000000/'E Balans VL '!Z14*100)</f>
        <v>9.9543846764994476E-2</v>
      </c>
      <c r="D30" s="237" t="s">
        <v>691</v>
      </c>
      <c r="F30" s="6"/>
    </row>
    <row r="31" spans="1:18">
      <c r="A31" s="231" t="s">
        <v>54</v>
      </c>
      <c r="B31" s="33">
        <f>IF(ISERROR(TER_onderwijs_ele_kWh/1000),0,TER_onderwijs_ele_kWh/1000)</f>
        <v>182.42500000000001</v>
      </c>
      <c r="C31" s="39">
        <f>IF(ISERROR(B31*3.6/1000000/'E Balans VL '!Z11*100),0,B31*3.6/1000000/'E Balans VL '!Z11*100)</f>
        <v>3.7867195185427388E-2</v>
      </c>
      <c r="D31" s="237" t="s">
        <v>691</v>
      </c>
    </row>
    <row r="32" spans="1:18">
      <c r="A32" s="231" t="s">
        <v>259</v>
      </c>
      <c r="B32" s="33">
        <f>IF(ISERROR(TER_rest_ele_kWh/1000),0,TER_rest_ele_kWh/1000)</f>
        <v>2086.047779</v>
      </c>
      <c r="C32" s="39">
        <f>IF(ISERROR(B32*3.6/1000000/'E Balans VL '!Z8*100),0,B32*3.6/1000000/'E Balans VL '!Z8*100)</f>
        <v>1.757372535772464E-2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3335.8714100000002</v>
      </c>
      <c r="C5" s="17">
        <f>IF(ISERROR('Eigen informatie GS &amp; warmtenet'!B59),0,'Eigen informatie GS &amp; warmtenet'!B59)</f>
        <v>0</v>
      </c>
      <c r="D5" s="30">
        <f>SUM(D6:D15)</f>
        <v>2746.6944565634276</v>
      </c>
      <c r="E5" s="17">
        <f>SUM(E6:E15)</f>
        <v>476.52659446936309</v>
      </c>
      <c r="F5" s="17">
        <f>SUM(F6:F15)</f>
        <v>2366.6024496679815</v>
      </c>
      <c r="G5" s="18"/>
      <c r="H5" s="17"/>
      <c r="I5" s="17"/>
      <c r="J5" s="17">
        <f>SUM(J6:J15)</f>
        <v>16.598965014652606</v>
      </c>
      <c r="K5" s="17"/>
      <c r="L5" s="17"/>
      <c r="M5" s="17"/>
      <c r="N5" s="17">
        <f>SUM(N6:N15)</f>
        <v>437.47216987061324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87.789210000000011</v>
      </c>
      <c r="C8" s="33"/>
      <c r="D8" s="37">
        <f>IF( ISERROR(IND_metaal_Gas_kWH/1000),0,IND_metaal_Gas_kWH/1000)*0.902</f>
        <v>0</v>
      </c>
      <c r="E8" s="33">
        <f>C30*'E Balans VL '!I18/100/3.6*1000000</f>
        <v>2.1970566706475236</v>
      </c>
      <c r="F8" s="33">
        <f>C30*'E Balans VL '!L18/100/3.6*1000000+C30*'E Balans VL '!N18/100/3.6*1000000</f>
        <v>27.513575099988422</v>
      </c>
      <c r="G8" s="34"/>
      <c r="H8" s="33"/>
      <c r="I8" s="33"/>
      <c r="J8" s="40">
        <f>C30*'E Balans VL '!D18/100/3.6*1000000+C30*'E Balans VL '!E18/100/3.6*1000000</f>
        <v>0</v>
      </c>
      <c r="K8" s="33"/>
      <c r="L8" s="33"/>
      <c r="M8" s="33"/>
      <c r="N8" s="33">
        <f>C30*'E Balans VL '!Y18/100/3.6*1000000</f>
        <v>2.2054927880671298</v>
      </c>
      <c r="O8" s="33"/>
      <c r="P8" s="33"/>
      <c r="R8" s="32"/>
    </row>
    <row r="9" spans="1:18">
      <c r="A9" s="6" t="s">
        <v>32</v>
      </c>
      <c r="B9" s="37">
        <f t="shared" si="0"/>
        <v>1474.979</v>
      </c>
      <c r="C9" s="33"/>
      <c r="D9" s="37">
        <f>IF( ISERROR(IND_andere_gas_kWh/1000),0,IND_andere_gas_kWh/1000)*0.902</f>
        <v>1435.2043960544142</v>
      </c>
      <c r="E9" s="33">
        <f>C31*'E Balans VL '!I19/100/3.6*1000000</f>
        <v>405.55872865431473</v>
      </c>
      <c r="F9" s="33">
        <f>C31*'E Balans VL '!L19/100/3.6*1000000+C31*'E Balans VL '!N19/100/3.6*1000000</f>
        <v>1162.5401167740074</v>
      </c>
      <c r="G9" s="34"/>
      <c r="H9" s="33"/>
      <c r="I9" s="33"/>
      <c r="J9" s="40">
        <f>C31*'E Balans VL '!D19/100/3.6*1000000+C31*'E Balans VL '!E19/100/3.6*1000000</f>
        <v>0</v>
      </c>
      <c r="K9" s="33"/>
      <c r="L9" s="33"/>
      <c r="M9" s="33"/>
      <c r="N9" s="33">
        <f>C31*'E Balans VL '!Y19/100/3.6*1000000</f>
        <v>118.82523770608955</v>
      </c>
      <c r="O9" s="33"/>
      <c r="P9" s="33"/>
      <c r="R9" s="32"/>
    </row>
    <row r="10" spans="1:18">
      <c r="A10" s="6" t="s">
        <v>40</v>
      </c>
      <c r="B10" s="37">
        <f t="shared" si="0"/>
        <v>470.65969999999999</v>
      </c>
      <c r="C10" s="33"/>
      <c r="D10" s="37">
        <f>IF( ISERROR(IND_voed_gas_kWh/1000),0,IND_voed_gas_kWh/1000)*0.902</f>
        <v>599.45582622045322</v>
      </c>
      <c r="E10" s="33">
        <f>C32*'E Balans VL '!I20/100/3.6*1000000</f>
        <v>4.7981163535917668</v>
      </c>
      <c r="F10" s="33">
        <f>C32*'E Balans VL '!L20/100/3.6*1000000+C32*'E Balans VL '!N20/100/3.6*1000000</f>
        <v>889.07322960773399</v>
      </c>
      <c r="G10" s="34"/>
      <c r="H10" s="33"/>
      <c r="I10" s="33"/>
      <c r="J10" s="40">
        <f>C32*'E Balans VL '!D20/100/3.6*1000000+C32*'E Balans VL '!E20/100/3.6*1000000</f>
        <v>11.264426626510616</v>
      </c>
      <c r="K10" s="33"/>
      <c r="L10" s="33"/>
      <c r="M10" s="33"/>
      <c r="N10" s="33">
        <f>C32*'E Balans VL '!Y20/100/3.6*1000000</f>
        <v>248.09187524960575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47.793500000000002</v>
      </c>
      <c r="C12" s="33"/>
      <c r="D12" s="37">
        <f>IF( ISERROR(IND_min_gas_kWh/1000),0,IND_min_gas_kWh/1000)*0.902</f>
        <v>0</v>
      </c>
      <c r="E12" s="33">
        <f>C34*'E Balans VL '!I22/100/3.6*1000000</f>
        <v>0.14474489197010285</v>
      </c>
      <c r="F12" s="33">
        <f>C34*'E Balans VL '!L22/100/3.6*1000000+C34*'E Balans VL '!N22/100/3.6*1000000</f>
        <v>1.4935879647975343</v>
      </c>
      <c r="G12" s="34"/>
      <c r="H12" s="33"/>
      <c r="I12" s="33"/>
      <c r="J12" s="40">
        <f>C34*'E Balans VL '!D22/100/3.6*1000000+C34*'E Balans VL '!E22/100/3.6*1000000</f>
        <v>7.0867150889702968E-2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1254.6500000000001</v>
      </c>
      <c r="C15" s="33"/>
      <c r="D15" s="37">
        <f>IF( ISERROR(IND_rest_gas_kWh/1000),0,IND_rest_gas_kWh/1000)*0.902</f>
        <v>712.03423428856001</v>
      </c>
      <c r="E15" s="33">
        <f>C37*'E Balans VL '!I15/100/3.6*1000000</f>
        <v>63.827947898839007</v>
      </c>
      <c r="F15" s="33">
        <f>C37*'E Balans VL '!L15/100/3.6*1000000+C37*'E Balans VL '!N15/100/3.6*1000000</f>
        <v>285.98194022145447</v>
      </c>
      <c r="G15" s="34"/>
      <c r="H15" s="33"/>
      <c r="I15" s="33"/>
      <c r="J15" s="40">
        <f>C37*'E Balans VL '!D15/100/3.6*1000000+C37*'E Balans VL '!E15/100/3.6*1000000</f>
        <v>5.2636712372522876</v>
      </c>
      <c r="K15" s="33"/>
      <c r="L15" s="33"/>
      <c r="M15" s="33"/>
      <c r="N15" s="33">
        <f>C37*'E Balans VL '!Y15/100/3.6*1000000</f>
        <v>68.349564126850822</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3335.8714100000002</v>
      </c>
      <c r="C18" s="21">
        <f>C5+C16</f>
        <v>0</v>
      </c>
      <c r="D18" s="21">
        <f>MAX((D5+D16),0)</f>
        <v>2746.6944565634276</v>
      </c>
      <c r="E18" s="21">
        <f>MAX((E5+E16),0)</f>
        <v>476.52659446936309</v>
      </c>
      <c r="F18" s="21">
        <f>MAX((F5+F16),0)</f>
        <v>2366.6024496679815</v>
      </c>
      <c r="G18" s="21"/>
      <c r="H18" s="21"/>
      <c r="I18" s="21"/>
      <c r="J18" s="21">
        <f>MAX((J5+J16),0)</f>
        <v>16.598965014652606</v>
      </c>
      <c r="K18" s="21"/>
      <c r="L18" s="21">
        <f>MAX((L5+L16),0)</f>
        <v>0</v>
      </c>
      <c r="M18" s="21"/>
      <c r="N18" s="21">
        <f>MAX((N5+N16),0)</f>
        <v>437.47216987061324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0.18650161030867024</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622.14538974765435</v>
      </c>
      <c r="C22" s="23">
        <f ca="1">C18*C20</f>
        <v>0</v>
      </c>
      <c r="D22" s="23">
        <f>D18*D20</f>
        <v>554.83228022581238</v>
      </c>
      <c r="E22" s="23">
        <f>E18*E20</f>
        <v>108.17153694454542</v>
      </c>
      <c r="F22" s="23">
        <f>F18*F20</f>
        <v>631.88285406135105</v>
      </c>
      <c r="G22" s="23"/>
      <c r="H22" s="23"/>
      <c r="I22" s="23"/>
      <c r="J22" s="23">
        <f>J18*J20</f>
        <v>5.8760336151870218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87.789210000000011</v>
      </c>
      <c r="C30" s="39">
        <f>IF(ISERROR(B30*3.6/1000000/'E Balans VL '!Z18*100),0,B30*3.6/1000000/'E Balans VL '!Z18*100)</f>
        <v>1.2287563792256671E-2</v>
      </c>
      <c r="D30" s="237" t="s">
        <v>691</v>
      </c>
    </row>
    <row r="31" spans="1:18">
      <c r="A31" s="6" t="s">
        <v>32</v>
      </c>
      <c r="B31" s="37">
        <f>IF( ISERROR(IND_ander_ele_kWh/1000),0,IND_ander_ele_kWh/1000)</f>
        <v>1474.979</v>
      </c>
      <c r="C31" s="39">
        <f>IF(ISERROR(B31*3.6/1000000/'E Balans VL '!Z19*100),0,B31*3.6/1000000/'E Balans VL '!Z19*100)</f>
        <v>6.455959155441128E-2</v>
      </c>
      <c r="D31" s="237" t="s">
        <v>691</v>
      </c>
    </row>
    <row r="32" spans="1:18">
      <c r="A32" s="171" t="s">
        <v>40</v>
      </c>
      <c r="B32" s="37">
        <f>IF( ISERROR(IND_voed_ele_kWh/1000),0,IND_voed_ele_kWh/1000)</f>
        <v>470.65969999999999</v>
      </c>
      <c r="C32" s="39">
        <f>IF(ISERROR(B32*3.6/1000000/'E Balans VL '!Z20*100),0,B32*3.6/1000000/'E Balans VL '!Z20*100)</f>
        <v>0.11651971188231225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47.793500000000002</v>
      </c>
      <c r="C34" s="39">
        <f>IF(ISERROR(B34*3.6/1000000/'E Balans VL '!Z22*100),0,B34*3.6/1000000/'E Balans VL '!Z22*100)</f>
        <v>1.3561845429994701E-3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1254.6500000000001</v>
      </c>
      <c r="C37" s="39">
        <f>IF(ISERROR(B37*3.6/1000000/'E Balans VL '!Z15*100),0,B37*3.6/1000000/'E Balans VL '!Z15*100)</f>
        <v>9.3030149448302107E-3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1548.9302</v>
      </c>
      <c r="C5" s="17">
        <f>'Eigen informatie GS &amp; warmtenet'!B60</f>
        <v>0</v>
      </c>
      <c r="D5" s="30">
        <f>IF(ISERROR(SUM(LB_lb_gas_kWh,LB_rest_gas_kWh)/1000),0,SUM(LB_lb_gas_kWh,LB_rest_gas_kWh)/1000)*0.902</f>
        <v>28847.751221842114</v>
      </c>
      <c r="E5" s="17">
        <f>B17*'E Balans VL '!I25/3.6*1000000/100</f>
        <v>14.346840264002253</v>
      </c>
      <c r="F5" s="17">
        <f>B17*('E Balans VL '!L25/3.6*1000000+'E Balans VL '!N25/3.6*1000000)/100</f>
        <v>3929.9309883002925</v>
      </c>
      <c r="G5" s="18"/>
      <c r="H5" s="17"/>
      <c r="I5" s="17"/>
      <c r="J5" s="17">
        <f>('E Balans VL '!D25+'E Balans VL '!E25)/3.6*1000000*landbouw!B17/100</f>
        <v>237.46828577148318</v>
      </c>
      <c r="K5" s="17"/>
      <c r="L5" s="17">
        <f>L6*(-1)</f>
        <v>0</v>
      </c>
      <c r="M5" s="17"/>
      <c r="N5" s="17">
        <f>N6*(-1)</f>
        <v>10542.857142857143</v>
      </c>
      <c r="O5" s="17"/>
      <c r="P5" s="17"/>
      <c r="R5" s="32"/>
    </row>
    <row r="6" spans="1:18">
      <c r="A6" s="16" t="s">
        <v>493</v>
      </c>
      <c r="B6" s="17" t="s">
        <v>210</v>
      </c>
      <c r="C6" s="17">
        <f>'lokale energieproductie'!O41+'lokale energieproductie'!O34</f>
        <v>18585.000000000004</v>
      </c>
      <c r="D6" s="308">
        <f>('lokale energieproductie'!P34+'lokale energieproductie'!P41)*(-1)</f>
        <v>-26627.142857142859</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1548.9302</v>
      </c>
      <c r="C8" s="21">
        <f>C5+C6</f>
        <v>18585.000000000004</v>
      </c>
      <c r="D8" s="21">
        <f>MAX((D5+D6),0)</f>
        <v>2220.6083646992556</v>
      </c>
      <c r="E8" s="21">
        <f>MAX((E5+E6),0)</f>
        <v>14.346840264002253</v>
      </c>
      <c r="F8" s="21">
        <f>MAX((F5+F6),0)</f>
        <v>3929.9309883002925</v>
      </c>
      <c r="G8" s="21"/>
      <c r="H8" s="21"/>
      <c r="I8" s="21"/>
      <c r="J8" s="21">
        <f>MAX((J5+J6),0)</f>
        <v>237.46828577148318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0.18650161030867024</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288.87797655573064</v>
      </c>
      <c r="C12" s="23">
        <f ca="1">C8*C10</f>
        <v>3163.9310924369752</v>
      </c>
      <c r="D12" s="23">
        <f>D8*D10</f>
        <v>448.56288966924967</v>
      </c>
      <c r="E12" s="23">
        <f>E8*E10</f>
        <v>3.2567327399285118</v>
      </c>
      <c r="F12" s="23">
        <f>F8*F10</f>
        <v>1049.2915738761781</v>
      </c>
      <c r="G12" s="23"/>
      <c r="H12" s="23"/>
      <c r="I12" s="23"/>
      <c r="J12" s="23">
        <f>J8*J10</f>
        <v>84.06377316310504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0.2202250314428785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290.60898909988481</v>
      </c>
      <c r="C26" s="247">
        <f>B26*'GWP N2O_CH4'!B5</f>
        <v>6102.788771097581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155.01076857567887</v>
      </c>
      <c r="C27" s="247">
        <f>B27*'GWP N2O_CH4'!B5</f>
        <v>3255.2261400892562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4.4423360211299361</v>
      </c>
      <c r="C28" s="247">
        <f>B28*'GWP N2O_CH4'!B4</f>
        <v>1377.1241665502803</v>
      </c>
      <c r="D28" s="50"/>
    </row>
    <row r="29" spans="1:4">
      <c r="A29" s="41" t="s">
        <v>276</v>
      </c>
      <c r="B29" s="247">
        <f>B34*'ha_N2O bodem landbouw'!B4</f>
        <v>13.325631528097418</v>
      </c>
      <c r="C29" s="247">
        <f>B29*'GWP N2O_CH4'!B4</f>
        <v>4130.9457737101993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2.9887043899657923E-3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5.2998276086226997E-5</v>
      </c>
      <c r="C5" s="438" t="s">
        <v>210</v>
      </c>
      <c r="D5" s="423">
        <f>SUM(D6:D11)</f>
        <v>1.1183718017151041E-4</v>
      </c>
      <c r="E5" s="423">
        <f>SUM(E6:E11)</f>
        <v>1.1725131181771434E-3</v>
      </c>
      <c r="F5" s="436" t="s">
        <v>210</v>
      </c>
      <c r="G5" s="423">
        <f>SUM(G6:G11)</f>
        <v>0.48732488347591318</v>
      </c>
      <c r="H5" s="423">
        <f>SUM(H6:H11)</f>
        <v>6.8869012488189621E-2</v>
      </c>
      <c r="I5" s="438" t="s">
        <v>210</v>
      </c>
      <c r="J5" s="438" t="s">
        <v>210</v>
      </c>
      <c r="K5" s="438" t="s">
        <v>210</v>
      </c>
      <c r="L5" s="438" t="s">
        <v>210</v>
      </c>
      <c r="M5" s="423">
        <f>SUM(M6:M11)</f>
        <v>3.0354410340149036E-2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1.1222336668471349E-5</v>
      </c>
      <c r="C6" s="424"/>
      <c r="D6" s="866">
        <f>vkm_GW_PW*SUMIFS(TableVerdeelsleutelVkm[CNG],TableVerdeelsleutelVkm[Voertuigtype],"Lichte voertuigen")*SUMIFS(TableECFTransport[EnergieConsumptieFactor (PJ per km)],TableECFTransport[Index],CONCATENATE($A6,"_CNG_CNG"))</f>
        <v>1.9582803398234214E-5</v>
      </c>
      <c r="E6" s="866">
        <f>vkm_GW_PW*SUMIFS(TableVerdeelsleutelVkm[LPG],TableVerdeelsleutelVkm[Voertuigtype],"Lichte voertuigen")*SUMIFS(TableECFTransport[EnergieConsumptieFactor (PJ per km)],TableECFTransport[Index],CONCATENATE($A6,"_LPG_LPG"))</f>
        <v>1.8966907727428382E-4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4.4575496782565768E-2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1.1992395951426239E-2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2.9501628399535118E-3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4.5087775955482502E-2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8.7439529206824779E-7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2.6140873173267935E-3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1.5101204865699347E-5</v>
      </c>
      <c r="C8" s="424"/>
      <c r="D8" s="426">
        <f>vkm_NGW_PW*SUMIFS(TableVerdeelsleutelVkm[CNG],TableVerdeelsleutelVkm[Voertuigtype],"Lichte voertuigen")*SUMIFS(TableECFTransport[EnergieConsumptieFactor (PJ per km)],TableECFTransport[Index],CONCATENATE($A8,"_CNG_CNG"))</f>
        <v>4.5123179069855896E-5</v>
      </c>
      <c r="E8" s="426">
        <f>vkm_NGW_PW*SUMIFS(TableVerdeelsleutelVkm[LPG],TableVerdeelsleutelVkm[Voertuigtype],"Lichte voertuigen")*SUMIFS(TableECFTransport[EnergieConsumptieFactor (PJ per km)],TableECFTransport[Index],CONCATENATE($A8,"_LPG_LPG"))</f>
        <v>4.1359481884321913E-4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9.1239763083439701E-2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2.668100622650597E-2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6.1036688953179097E-3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3.9179709405406896E-2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9.411665962520419E-7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2.2715565070868244E-3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2.6674734552056299E-5</v>
      </c>
      <c r="C10" s="424"/>
      <c r="D10" s="426">
        <f>vkm_SW_PW*SUMIFS(TableVerdeelsleutelVkm[CNG],TableVerdeelsleutelVkm[Voertuigtype],"Lichte voertuigen")*SUMIFS(TableECFTransport[EnergieConsumptieFactor (PJ per km)],TableECFTransport[Index],CONCATENATE($A10,"_CNG_CNG"))</f>
        <v>4.7131197703420299E-5</v>
      </c>
      <c r="E10" s="426">
        <f>vkm_SW_PW*SUMIFS(TableVerdeelsleutelVkm[LPG],TableVerdeelsleutelVkm[Voertuigtype],"Lichte voertuigen")*SUMIFS(TableECFTransport[EnergieConsumptieFactor (PJ per km)],TableECFTransport[Index],CONCATENATE($A10,"_LPG_LPG"))</f>
        <v>5.692492220596405E-4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0.12029436221899745</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3.0190766770062327E-2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7.8952295042486673E-3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0.14694777603002088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3.0279783067612682E-6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8.5197052762153273E-3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14.721743357285275</v>
      </c>
      <c r="C14" s="21"/>
      <c r="D14" s="21">
        <f t="shared" ref="D14:M14" si="0">((D5)*10^9/3600)+D12</f>
        <v>31.065883380975112</v>
      </c>
      <c r="E14" s="21">
        <f t="shared" si="0"/>
        <v>325.69808838253982</v>
      </c>
      <c r="F14" s="21"/>
      <c r="G14" s="21">
        <f t="shared" si="0"/>
        <v>135368.02318775366</v>
      </c>
      <c r="H14" s="21">
        <f t="shared" si="0"/>
        <v>19130.28124671934</v>
      </c>
      <c r="I14" s="21"/>
      <c r="J14" s="21"/>
      <c r="K14" s="21"/>
      <c r="L14" s="21"/>
      <c r="M14" s="21">
        <f t="shared" si="0"/>
        <v>8431.780650041399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0.18650161030867024</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2.7456288426846731</v>
      </c>
      <c r="C18" s="23"/>
      <c r="D18" s="23">
        <f t="shared" ref="D18:M18" si="1">D14*D16</f>
        <v>6.2753084429569732</v>
      </c>
      <c r="E18" s="23">
        <f t="shared" si="1"/>
        <v>73.933466062836544</v>
      </c>
      <c r="F18" s="23"/>
      <c r="G18" s="23">
        <f t="shared" si="1"/>
        <v>36143.262191130227</v>
      </c>
      <c r="H18" s="23">
        <f t="shared" si="1"/>
        <v>4763.4400304331157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4.9148239440248726E-3</v>
      </c>
      <c r="H50" s="319">
        <f t="shared" si="2"/>
        <v>0</v>
      </c>
      <c r="I50" s="319">
        <f t="shared" si="2"/>
        <v>0</v>
      </c>
      <c r="J50" s="319">
        <f t="shared" si="2"/>
        <v>0</v>
      </c>
      <c r="K50" s="319">
        <f t="shared" si="2"/>
        <v>0</v>
      </c>
      <c r="L50" s="319">
        <f t="shared" si="2"/>
        <v>0</v>
      </c>
      <c r="M50" s="319">
        <f t="shared" si="2"/>
        <v>2.8091637735204862E-4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4.9148239440248726E-3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2.8091637735204862E-4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1365.2288733402424</v>
      </c>
      <c r="H54" s="21">
        <f t="shared" si="3"/>
        <v>0</v>
      </c>
      <c r="I54" s="21">
        <f t="shared" si="3"/>
        <v>0</v>
      </c>
      <c r="J54" s="21">
        <f t="shared" si="3"/>
        <v>0</v>
      </c>
      <c r="K54" s="21">
        <f t="shared" si="3"/>
        <v>0</v>
      </c>
      <c r="L54" s="21">
        <f t="shared" si="3"/>
        <v>0</v>
      </c>
      <c r="M54" s="21">
        <f t="shared" si="3"/>
        <v>78.032327042235735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0.18650161030867024</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364.51610918184474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13755.210879</v>
      </c>
      <c r="D10" s="991">
        <f ca="1">tertiair!C16</f>
        <v>0</v>
      </c>
      <c r="E10" s="991">
        <f ca="1">tertiair!D16</f>
        <v>12816.974665985319</v>
      </c>
      <c r="F10" s="991">
        <f>tertiair!E16</f>
        <v>172.83374084250315</v>
      </c>
      <c r="G10" s="991">
        <f ca="1">tertiair!F16</f>
        <v>1977.1729799408429</v>
      </c>
      <c r="H10" s="991">
        <f>tertiair!G16</f>
        <v>0</v>
      </c>
      <c r="I10" s="991">
        <f>tertiair!H16</f>
        <v>0</v>
      </c>
      <c r="J10" s="991">
        <f>tertiair!I16</f>
        <v>0</v>
      </c>
      <c r="K10" s="991">
        <f>tertiair!J16</f>
        <v>0</v>
      </c>
      <c r="L10" s="991">
        <f>tertiair!K16</f>
        <v>0</v>
      </c>
      <c r="M10" s="991">
        <f ca="1">tertiair!L16</f>
        <v>0</v>
      </c>
      <c r="N10" s="991">
        <f>tertiair!M16</f>
        <v>0</v>
      </c>
      <c r="O10" s="991">
        <f ca="1">tertiair!N16</f>
        <v>1164.947003553408</v>
      </c>
      <c r="P10" s="991">
        <f>tertiair!O16</f>
        <v>4.6900000000000004</v>
      </c>
      <c r="Q10" s="992">
        <f>tertiair!P16</f>
        <v>19.066666666666666</v>
      </c>
      <c r="R10" s="675">
        <f ca="1">SUM(C10:Q10)</f>
        <v>29910.895935988734</v>
      </c>
      <c r="S10" s="67"/>
    </row>
    <row r="11" spans="1:19" s="448" customFormat="1">
      <c r="A11" s="784" t="s">
        <v>224</v>
      </c>
      <c r="B11" s="789"/>
      <c r="C11" s="991">
        <f>huishoudens!B8</f>
        <v>33606.723394308581</v>
      </c>
      <c r="D11" s="991">
        <f>huishoudens!C8</f>
        <v>0</v>
      </c>
      <c r="E11" s="991">
        <f>huishoudens!D8</f>
        <v>68908.82497316612</v>
      </c>
      <c r="F11" s="991">
        <f>huishoudens!E8</f>
        <v>27759.91598067592</v>
      </c>
      <c r="G11" s="991">
        <f>huishoudens!F8</f>
        <v>0</v>
      </c>
      <c r="H11" s="991">
        <f>huishoudens!G8</f>
        <v>0</v>
      </c>
      <c r="I11" s="991">
        <f>huishoudens!H8</f>
        <v>0</v>
      </c>
      <c r="J11" s="991">
        <f>huishoudens!I8</f>
        <v>0</v>
      </c>
      <c r="K11" s="991">
        <f>huishoudens!J8</f>
        <v>493.48119790079647</v>
      </c>
      <c r="L11" s="991">
        <f>huishoudens!K8</f>
        <v>0</v>
      </c>
      <c r="M11" s="991">
        <f>huishoudens!L8</f>
        <v>0</v>
      </c>
      <c r="N11" s="991">
        <f>huishoudens!M8</f>
        <v>0</v>
      </c>
      <c r="O11" s="991">
        <f>huishoudens!N8</f>
        <v>22259.175994628124</v>
      </c>
      <c r="P11" s="991">
        <f>huishoudens!O8</f>
        <v>170.40333333333334</v>
      </c>
      <c r="Q11" s="992">
        <f>huishoudens!P8</f>
        <v>591.06666666666661</v>
      </c>
      <c r="R11" s="675">
        <f>SUM(C11:Q11)</f>
        <v>153789.59154067954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3335.8714100000002</v>
      </c>
      <c r="D13" s="991">
        <f>industrie!C18</f>
        <v>0</v>
      </c>
      <c r="E13" s="991">
        <f>industrie!D18</f>
        <v>2746.6944565634276</v>
      </c>
      <c r="F13" s="991">
        <f>industrie!E18</f>
        <v>476.52659446936309</v>
      </c>
      <c r="G13" s="991">
        <f>industrie!F18</f>
        <v>2366.6024496679815</v>
      </c>
      <c r="H13" s="991">
        <f>industrie!G18</f>
        <v>0</v>
      </c>
      <c r="I13" s="991">
        <f>industrie!H18</f>
        <v>0</v>
      </c>
      <c r="J13" s="991">
        <f>industrie!I18</f>
        <v>0</v>
      </c>
      <c r="K13" s="991">
        <f>industrie!J18</f>
        <v>16.598965014652606</v>
      </c>
      <c r="L13" s="991">
        <f>industrie!K18</f>
        <v>0</v>
      </c>
      <c r="M13" s="991">
        <f>industrie!L18</f>
        <v>0</v>
      </c>
      <c r="N13" s="991">
        <f>industrie!M18</f>
        <v>0</v>
      </c>
      <c r="O13" s="991">
        <f>industrie!N18</f>
        <v>437.47216987061324</v>
      </c>
      <c r="P13" s="991">
        <f>industrie!O18</f>
        <v>0</v>
      </c>
      <c r="Q13" s="992">
        <f>industrie!P18</f>
        <v>0</v>
      </c>
      <c r="R13" s="675">
        <f>SUM(C13:Q13)</f>
        <v>9379.7660455860369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50697.805683308579</v>
      </c>
      <c r="D16" s="707">
        <f t="shared" ref="D16:R16" ca="1" si="0">SUM(D9:D15)</f>
        <v>0</v>
      </c>
      <c r="E16" s="707">
        <f t="shared" ca="1" si="0"/>
        <v>84472.494095714865</v>
      </c>
      <c r="F16" s="707">
        <f t="shared" si="0"/>
        <v>28409.276315987787</v>
      </c>
      <c r="G16" s="707">
        <f t="shared" ca="1" si="0"/>
        <v>4343.7754296088242</v>
      </c>
      <c r="H16" s="707">
        <f t="shared" si="0"/>
        <v>0</v>
      </c>
      <c r="I16" s="707">
        <f t="shared" si="0"/>
        <v>0</v>
      </c>
      <c r="J16" s="707">
        <f t="shared" si="0"/>
        <v>0</v>
      </c>
      <c r="K16" s="707">
        <f t="shared" si="0"/>
        <v>510.08016291544908</v>
      </c>
      <c r="L16" s="707">
        <f t="shared" si="0"/>
        <v>0</v>
      </c>
      <c r="M16" s="707">
        <f t="shared" ca="1" si="0"/>
        <v>0</v>
      </c>
      <c r="N16" s="707">
        <f t="shared" si="0"/>
        <v>0</v>
      </c>
      <c r="O16" s="707">
        <f t="shared" ca="1" si="0"/>
        <v>23861.595168052143</v>
      </c>
      <c r="P16" s="707">
        <f t="shared" si="0"/>
        <v>175.09333333333333</v>
      </c>
      <c r="Q16" s="707">
        <f t="shared" si="0"/>
        <v>610.13333333333333</v>
      </c>
      <c r="R16" s="707">
        <f t="shared" ca="1" si="0"/>
        <v>193080.25352225429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1365.2288733402424</v>
      </c>
      <c r="I19" s="991">
        <f>transport!H54</f>
        <v>0</v>
      </c>
      <c r="J19" s="991">
        <f>transport!I54</f>
        <v>0</v>
      </c>
      <c r="K19" s="991">
        <f>transport!J54</f>
        <v>0</v>
      </c>
      <c r="L19" s="991">
        <f>transport!K54</f>
        <v>0</v>
      </c>
      <c r="M19" s="991">
        <f>transport!L54</f>
        <v>0</v>
      </c>
      <c r="N19" s="991">
        <f>transport!M54</f>
        <v>78.032327042235735</v>
      </c>
      <c r="O19" s="991">
        <f>transport!N54</f>
        <v>0</v>
      </c>
      <c r="P19" s="991">
        <f>transport!O54</f>
        <v>0</v>
      </c>
      <c r="Q19" s="992">
        <f>transport!P54</f>
        <v>0</v>
      </c>
      <c r="R19" s="675">
        <f>SUM(C19:Q19)</f>
        <v>1443.2612003824781</v>
      </c>
      <c r="S19" s="67"/>
    </row>
    <row r="20" spans="1:19" s="448" customFormat="1">
      <c r="A20" s="784" t="s">
        <v>306</v>
      </c>
      <c r="B20" s="789"/>
      <c r="C20" s="991">
        <f>transport!B14</f>
        <v>14.721743357285275</v>
      </c>
      <c r="D20" s="991">
        <f>transport!C14</f>
        <v>0</v>
      </c>
      <c r="E20" s="991">
        <f>transport!D14</f>
        <v>31.065883380975112</v>
      </c>
      <c r="F20" s="991">
        <f>transport!E14</f>
        <v>325.69808838253982</v>
      </c>
      <c r="G20" s="991">
        <f>transport!F14</f>
        <v>0</v>
      </c>
      <c r="H20" s="991">
        <f>transport!G14</f>
        <v>135368.02318775366</v>
      </c>
      <c r="I20" s="991">
        <f>transport!H14</f>
        <v>19130.28124671934</v>
      </c>
      <c r="J20" s="991">
        <f>transport!I14</f>
        <v>0</v>
      </c>
      <c r="K20" s="991">
        <f>transport!J14</f>
        <v>0</v>
      </c>
      <c r="L20" s="991">
        <f>transport!K14</f>
        <v>0</v>
      </c>
      <c r="M20" s="991">
        <f>transport!L14</f>
        <v>0</v>
      </c>
      <c r="N20" s="991">
        <f>transport!M14</f>
        <v>8431.780650041399</v>
      </c>
      <c r="O20" s="991">
        <f>transport!N14</f>
        <v>0</v>
      </c>
      <c r="P20" s="991">
        <f>transport!O14</f>
        <v>0</v>
      </c>
      <c r="Q20" s="992">
        <f>transport!P14</f>
        <v>0</v>
      </c>
      <c r="R20" s="675">
        <f>SUM(C20:Q20)</f>
        <v>163301.57079963517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14.721743357285275</v>
      </c>
      <c r="D22" s="787">
        <f t="shared" ref="D22:R22" si="1">SUM(D18:D21)</f>
        <v>0</v>
      </c>
      <c r="E22" s="787">
        <f t="shared" si="1"/>
        <v>31.065883380975112</v>
      </c>
      <c r="F22" s="787">
        <f t="shared" si="1"/>
        <v>325.69808838253982</v>
      </c>
      <c r="G22" s="787">
        <f t="shared" si="1"/>
        <v>0</v>
      </c>
      <c r="H22" s="787">
        <f t="shared" si="1"/>
        <v>136733.2520610939</v>
      </c>
      <c r="I22" s="787">
        <f t="shared" si="1"/>
        <v>19130.28124671934</v>
      </c>
      <c r="J22" s="787">
        <f t="shared" si="1"/>
        <v>0</v>
      </c>
      <c r="K22" s="787">
        <f t="shared" si="1"/>
        <v>0</v>
      </c>
      <c r="L22" s="787">
        <f t="shared" si="1"/>
        <v>0</v>
      </c>
      <c r="M22" s="787">
        <f t="shared" si="1"/>
        <v>0</v>
      </c>
      <c r="N22" s="787">
        <f t="shared" si="1"/>
        <v>8509.8129770836349</v>
      </c>
      <c r="O22" s="787">
        <f t="shared" si="1"/>
        <v>0</v>
      </c>
      <c r="P22" s="787">
        <f t="shared" si="1"/>
        <v>0</v>
      </c>
      <c r="Q22" s="787">
        <f t="shared" si="1"/>
        <v>0</v>
      </c>
      <c r="R22" s="787">
        <f t="shared" si="1"/>
        <v>164744.83200001766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1548.9302</v>
      </c>
      <c r="D24" s="991">
        <f>+landbouw!C8</f>
        <v>18585.000000000004</v>
      </c>
      <c r="E24" s="991">
        <f>+landbouw!D8</f>
        <v>2220.6083646992556</v>
      </c>
      <c r="F24" s="991">
        <f>+landbouw!E8</f>
        <v>14.346840264002253</v>
      </c>
      <c r="G24" s="991">
        <f>+landbouw!F8</f>
        <v>3929.9309883002925</v>
      </c>
      <c r="H24" s="991">
        <f>+landbouw!G8</f>
        <v>0</v>
      </c>
      <c r="I24" s="991">
        <f>+landbouw!H8</f>
        <v>0</v>
      </c>
      <c r="J24" s="991">
        <f>+landbouw!I8</f>
        <v>0</v>
      </c>
      <c r="K24" s="991">
        <f>+landbouw!J8</f>
        <v>237.46828577148318</v>
      </c>
      <c r="L24" s="991">
        <f>+landbouw!K8</f>
        <v>0</v>
      </c>
      <c r="M24" s="991">
        <f>+landbouw!L8</f>
        <v>0</v>
      </c>
      <c r="N24" s="991">
        <f>+landbouw!M8</f>
        <v>0</v>
      </c>
      <c r="O24" s="991">
        <f>+landbouw!N8</f>
        <v>0</v>
      </c>
      <c r="P24" s="991">
        <f>+landbouw!O8</f>
        <v>0</v>
      </c>
      <c r="Q24" s="992">
        <f>+landbouw!P8</f>
        <v>0</v>
      </c>
      <c r="R24" s="675">
        <f>SUM(C24:Q24)</f>
        <v>26536.284679035038</v>
      </c>
      <c r="S24" s="67"/>
    </row>
    <row r="25" spans="1:19" s="448" customFormat="1" ht="15" thickBot="1">
      <c r="A25" s="806" t="s">
        <v>849</v>
      </c>
      <c r="B25" s="994"/>
      <c r="C25" s="995">
        <f>IF(Onbekend_ele_kWh="---",0,Onbekend_ele_kWh)/1000+IF(REST_rest_ele_kWh="---",0,REST_rest_ele_kWh)/1000</f>
        <v>2469.8870000000002</v>
      </c>
      <c r="D25" s="995"/>
      <c r="E25" s="995">
        <f>IF(onbekend_gas_kWh="---",0,onbekend_gas_kWh)/1000+IF(REST_rest_gas_kWh="---",0,REST_rest_gas_kWh)/1000</f>
        <v>2341.4647586003402</v>
      </c>
      <c r="F25" s="995"/>
      <c r="G25" s="995"/>
      <c r="H25" s="995"/>
      <c r="I25" s="995"/>
      <c r="J25" s="995"/>
      <c r="K25" s="995"/>
      <c r="L25" s="995"/>
      <c r="M25" s="995"/>
      <c r="N25" s="995"/>
      <c r="O25" s="995"/>
      <c r="P25" s="995"/>
      <c r="Q25" s="996"/>
      <c r="R25" s="675">
        <f>SUM(C25:Q25)</f>
        <v>4811.35175860034</v>
      </c>
      <c r="S25" s="67"/>
    </row>
    <row r="26" spans="1:19" s="448" customFormat="1" ht="15.75" thickBot="1">
      <c r="A26" s="680" t="s">
        <v>850</v>
      </c>
      <c r="B26" s="792"/>
      <c r="C26" s="787">
        <f>SUM(C24:C25)</f>
        <v>4018.8172000000004</v>
      </c>
      <c r="D26" s="787">
        <f t="shared" ref="D26:R26" si="2">SUM(D24:D25)</f>
        <v>18585.000000000004</v>
      </c>
      <c r="E26" s="787">
        <f t="shared" si="2"/>
        <v>4562.0731232995959</v>
      </c>
      <c r="F26" s="787">
        <f t="shared" si="2"/>
        <v>14.346840264002253</v>
      </c>
      <c r="G26" s="787">
        <f t="shared" si="2"/>
        <v>3929.9309883002925</v>
      </c>
      <c r="H26" s="787">
        <f t="shared" si="2"/>
        <v>0</v>
      </c>
      <c r="I26" s="787">
        <f t="shared" si="2"/>
        <v>0</v>
      </c>
      <c r="J26" s="787">
        <f t="shared" si="2"/>
        <v>0</v>
      </c>
      <c r="K26" s="787">
        <f t="shared" si="2"/>
        <v>237.46828577148318</v>
      </c>
      <c r="L26" s="787">
        <f t="shared" si="2"/>
        <v>0</v>
      </c>
      <c r="M26" s="787">
        <f t="shared" si="2"/>
        <v>0</v>
      </c>
      <c r="N26" s="787">
        <f t="shared" si="2"/>
        <v>0</v>
      </c>
      <c r="O26" s="787">
        <f t="shared" si="2"/>
        <v>0</v>
      </c>
      <c r="P26" s="787">
        <f t="shared" si="2"/>
        <v>0</v>
      </c>
      <c r="Q26" s="787">
        <f t="shared" si="2"/>
        <v>0</v>
      </c>
      <c r="R26" s="787">
        <f t="shared" si="2"/>
        <v>31347.636437635378</v>
      </c>
      <c r="S26" s="67"/>
    </row>
    <row r="27" spans="1:19" s="448" customFormat="1" ht="17.25" thickTop="1" thickBot="1">
      <c r="A27" s="681" t="s">
        <v>115</v>
      </c>
      <c r="B27" s="780"/>
      <c r="C27" s="682">
        <f ca="1">C22+C16+C26</f>
        <v>54731.344626665865</v>
      </c>
      <c r="D27" s="682">
        <f t="shared" ref="D27:R27" ca="1" si="3">D22+D16+D26</f>
        <v>18585.000000000004</v>
      </c>
      <c r="E27" s="682">
        <f t="shared" ca="1" si="3"/>
        <v>89065.633102395426</v>
      </c>
      <c r="F27" s="682">
        <f t="shared" si="3"/>
        <v>28749.321244634328</v>
      </c>
      <c r="G27" s="682">
        <f t="shared" ca="1" si="3"/>
        <v>8273.7064179091176</v>
      </c>
      <c r="H27" s="682">
        <f t="shared" si="3"/>
        <v>136733.2520610939</v>
      </c>
      <c r="I27" s="682">
        <f t="shared" si="3"/>
        <v>19130.28124671934</v>
      </c>
      <c r="J27" s="682">
        <f t="shared" si="3"/>
        <v>0</v>
      </c>
      <c r="K27" s="682">
        <f t="shared" si="3"/>
        <v>747.54844868693226</v>
      </c>
      <c r="L27" s="682">
        <f t="shared" si="3"/>
        <v>0</v>
      </c>
      <c r="M27" s="682">
        <f t="shared" ca="1" si="3"/>
        <v>0</v>
      </c>
      <c r="N27" s="682">
        <f t="shared" si="3"/>
        <v>8509.8129770836349</v>
      </c>
      <c r="O27" s="682">
        <f t="shared" ca="1" si="3"/>
        <v>23861.595168052143</v>
      </c>
      <c r="P27" s="682">
        <f t="shared" si="3"/>
        <v>175.09333333333333</v>
      </c>
      <c r="Q27" s="682">
        <f t="shared" si="3"/>
        <v>610.13333333333333</v>
      </c>
      <c r="R27" s="682">
        <f t="shared" ca="1" si="3"/>
        <v>389172.72195990733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2565.3689790688395</v>
      </c>
      <c r="D40" s="991">
        <f ca="1">tertiair!C20</f>
        <v>0</v>
      </c>
      <c r="E40" s="991">
        <f ca="1">tertiair!D20</f>
        <v>2589.0288825290345</v>
      </c>
      <c r="F40" s="991">
        <f>tertiair!E20</f>
        <v>39.233259171248214</v>
      </c>
      <c r="G40" s="991">
        <f ca="1">tertiair!F20</f>
        <v>527.90518564420506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5721.5363064133271</v>
      </c>
    </row>
    <row r="41" spans="1:18">
      <c r="A41" s="797" t="s">
        <v>224</v>
      </c>
      <c r="B41" s="804"/>
      <c r="C41" s="991">
        <f ca="1">huishoudens!B12</f>
        <v>6267.7080302366103</v>
      </c>
      <c r="D41" s="991">
        <f ca="1">huishoudens!C12</f>
        <v>0</v>
      </c>
      <c r="E41" s="991">
        <f>huishoudens!D12</f>
        <v>13919.582644579557</v>
      </c>
      <c r="F41" s="991">
        <f>huishoudens!E12</f>
        <v>6301.5009276134342</v>
      </c>
      <c r="G41" s="991">
        <f>huishoudens!F12</f>
        <v>0</v>
      </c>
      <c r="H41" s="991">
        <f>huishoudens!G12</f>
        <v>0</v>
      </c>
      <c r="I41" s="991">
        <f>huishoudens!H12</f>
        <v>0</v>
      </c>
      <c r="J41" s="991">
        <f>huishoudens!I12</f>
        <v>0</v>
      </c>
      <c r="K41" s="991">
        <f>huishoudens!J12</f>
        <v>174.69234405688195</v>
      </c>
      <c r="L41" s="991">
        <f>huishoudens!K12</f>
        <v>0</v>
      </c>
      <c r="M41" s="991">
        <f>huishoudens!L12</f>
        <v>0</v>
      </c>
      <c r="N41" s="991">
        <f>huishoudens!M12</f>
        <v>0</v>
      </c>
      <c r="O41" s="991">
        <f>huishoudens!N12</f>
        <v>0</v>
      </c>
      <c r="P41" s="991">
        <f>huishoudens!O12</f>
        <v>0</v>
      </c>
      <c r="Q41" s="749">
        <f>huishoudens!P12</f>
        <v>0</v>
      </c>
      <c r="R41" s="825">
        <f t="shared" ca="1" si="4"/>
        <v>26663.483946486485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622.14538974765435</v>
      </c>
      <c r="D43" s="991">
        <f ca="1">industrie!C22</f>
        <v>0</v>
      </c>
      <c r="E43" s="991">
        <f>industrie!D22</f>
        <v>554.83228022581238</v>
      </c>
      <c r="F43" s="991">
        <f>industrie!E22</f>
        <v>108.17153694454542</v>
      </c>
      <c r="G43" s="991">
        <f>industrie!F22</f>
        <v>631.88285406135105</v>
      </c>
      <c r="H43" s="991">
        <f>industrie!G22</f>
        <v>0</v>
      </c>
      <c r="I43" s="991">
        <f>industrie!H22</f>
        <v>0</v>
      </c>
      <c r="J43" s="991">
        <f>industrie!I22</f>
        <v>0</v>
      </c>
      <c r="K43" s="991">
        <f>industrie!J22</f>
        <v>5.8760336151870218</v>
      </c>
      <c r="L43" s="991">
        <f>industrie!K22</f>
        <v>0</v>
      </c>
      <c r="M43" s="991">
        <f>industrie!L22</f>
        <v>0</v>
      </c>
      <c r="N43" s="991">
        <f>industrie!M22</f>
        <v>0</v>
      </c>
      <c r="O43" s="991">
        <f>industrie!N22</f>
        <v>0</v>
      </c>
      <c r="P43" s="991">
        <f>industrie!O22</f>
        <v>0</v>
      </c>
      <c r="Q43" s="749">
        <f>industrie!P22</f>
        <v>0</v>
      </c>
      <c r="R43" s="824">
        <f t="shared" ca="1" si="4"/>
        <v>1922.90809459455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9455.2223990531038</v>
      </c>
      <c r="D46" s="707">
        <f t="shared" ref="D46:Q46" ca="1" si="5">SUM(D39:D45)</f>
        <v>0</v>
      </c>
      <c r="E46" s="707">
        <f t="shared" ca="1" si="5"/>
        <v>17063.443807334403</v>
      </c>
      <c r="F46" s="707">
        <f t="shared" si="5"/>
        <v>6448.9057237292282</v>
      </c>
      <c r="G46" s="707">
        <f t="shared" ca="1" si="5"/>
        <v>1159.788039705556</v>
      </c>
      <c r="H46" s="707">
        <f t="shared" si="5"/>
        <v>0</v>
      </c>
      <c r="I46" s="707">
        <f t="shared" si="5"/>
        <v>0</v>
      </c>
      <c r="J46" s="707">
        <f t="shared" si="5"/>
        <v>0</v>
      </c>
      <c r="K46" s="707">
        <f t="shared" si="5"/>
        <v>180.56837767206898</v>
      </c>
      <c r="L46" s="707">
        <f t="shared" si="5"/>
        <v>0</v>
      </c>
      <c r="M46" s="707">
        <f t="shared" ca="1" si="5"/>
        <v>0</v>
      </c>
      <c r="N46" s="707">
        <f t="shared" si="5"/>
        <v>0</v>
      </c>
      <c r="O46" s="707">
        <f t="shared" ca="1" si="5"/>
        <v>0</v>
      </c>
      <c r="P46" s="707">
        <f t="shared" si="5"/>
        <v>0</v>
      </c>
      <c r="Q46" s="707">
        <f t="shared" si="5"/>
        <v>0</v>
      </c>
      <c r="R46" s="707">
        <f ca="1">SUM(R39:R45)</f>
        <v>34307.928347494366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364.51610918184474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364.51610918184474</v>
      </c>
    </row>
    <row r="50" spans="1:18">
      <c r="A50" s="800" t="s">
        <v>306</v>
      </c>
      <c r="B50" s="810"/>
      <c r="C50" s="678">
        <f ca="1">transport!B18</f>
        <v>2.7456288426846731</v>
      </c>
      <c r="D50" s="678">
        <f>transport!C18</f>
        <v>0</v>
      </c>
      <c r="E50" s="678">
        <f>transport!D18</f>
        <v>6.2753084429569732</v>
      </c>
      <c r="F50" s="678">
        <f>transport!E18</f>
        <v>73.933466062836544</v>
      </c>
      <c r="G50" s="678">
        <f>transport!F18</f>
        <v>0</v>
      </c>
      <c r="H50" s="678">
        <f>transport!G18</f>
        <v>36143.262191130227</v>
      </c>
      <c r="I50" s="678">
        <f>transport!H18</f>
        <v>4763.4400304331157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40989.656624911819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2.7456288426846731</v>
      </c>
      <c r="D52" s="707">
        <f t="shared" ref="D52:Q52" ca="1" si="6">SUM(D48:D51)</f>
        <v>0</v>
      </c>
      <c r="E52" s="707">
        <f t="shared" si="6"/>
        <v>6.2753084429569732</v>
      </c>
      <c r="F52" s="707">
        <f t="shared" si="6"/>
        <v>73.933466062836544</v>
      </c>
      <c r="G52" s="707">
        <f t="shared" si="6"/>
        <v>0</v>
      </c>
      <c r="H52" s="707">
        <f t="shared" si="6"/>
        <v>36507.778300312071</v>
      </c>
      <c r="I52" s="707">
        <f t="shared" si="6"/>
        <v>4763.4400304331157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41354.172734093663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288.87797655573064</v>
      </c>
      <c r="D54" s="678">
        <f ca="1">+landbouw!C12</f>
        <v>3163.9310924369752</v>
      </c>
      <c r="E54" s="678">
        <f>+landbouw!D12</f>
        <v>448.56288966924967</v>
      </c>
      <c r="F54" s="678">
        <f>+landbouw!E12</f>
        <v>3.2567327399285118</v>
      </c>
      <c r="G54" s="678">
        <f>+landbouw!F12</f>
        <v>1049.2915738761781</v>
      </c>
      <c r="H54" s="678">
        <f>+landbouw!G12</f>
        <v>0</v>
      </c>
      <c r="I54" s="678">
        <f>+landbouw!H12</f>
        <v>0</v>
      </c>
      <c r="J54" s="678">
        <f>+landbouw!I12</f>
        <v>0</v>
      </c>
      <c r="K54" s="678">
        <f>+landbouw!J12</f>
        <v>84.06377316310504</v>
      </c>
      <c r="L54" s="678">
        <f>+landbouw!K12</f>
        <v>0</v>
      </c>
      <c r="M54" s="678">
        <f>+landbouw!L12</f>
        <v>0</v>
      </c>
      <c r="N54" s="678">
        <f>+landbouw!M12</f>
        <v>0</v>
      </c>
      <c r="O54" s="678">
        <f>+landbouw!N12</f>
        <v>0</v>
      </c>
      <c r="P54" s="678">
        <f>+landbouw!O12</f>
        <v>0</v>
      </c>
      <c r="Q54" s="679">
        <f>+landbouw!P12</f>
        <v>0</v>
      </c>
      <c r="R54" s="706">
        <f ca="1">SUM(C54:Q54)</f>
        <v>5037.9840384411673</v>
      </c>
    </row>
    <row r="55" spans="1:18" ht="15" thickBot="1">
      <c r="A55" s="800" t="s">
        <v>849</v>
      </c>
      <c r="B55" s="810"/>
      <c r="C55" s="678">
        <f ca="1">C25*'EF ele_warmte'!B12</f>
        <v>460.63790278045064</v>
      </c>
      <c r="D55" s="678"/>
      <c r="E55" s="678">
        <f>E25*EF_CO2_aardgas</f>
        <v>472.97588123726877</v>
      </c>
      <c r="F55" s="678"/>
      <c r="G55" s="678"/>
      <c r="H55" s="678"/>
      <c r="I55" s="678"/>
      <c r="J55" s="678"/>
      <c r="K55" s="678"/>
      <c r="L55" s="678"/>
      <c r="M55" s="678"/>
      <c r="N55" s="678"/>
      <c r="O55" s="678"/>
      <c r="P55" s="678"/>
      <c r="Q55" s="679"/>
      <c r="R55" s="706">
        <f ca="1">SUM(C55:Q55)</f>
        <v>933.61378401771935</v>
      </c>
    </row>
    <row r="56" spans="1:18" ht="15.75" thickBot="1">
      <c r="A56" s="798" t="s">
        <v>850</v>
      </c>
      <c r="B56" s="811"/>
      <c r="C56" s="707">
        <f ca="1">SUM(C54:C55)</f>
        <v>749.51587933618134</v>
      </c>
      <c r="D56" s="707">
        <f t="shared" ref="D56:Q56" ca="1" si="7">SUM(D54:D55)</f>
        <v>3163.9310924369752</v>
      </c>
      <c r="E56" s="707">
        <f t="shared" si="7"/>
        <v>921.53877090651849</v>
      </c>
      <c r="F56" s="707">
        <f t="shared" si="7"/>
        <v>3.2567327399285118</v>
      </c>
      <c r="G56" s="707">
        <f t="shared" si="7"/>
        <v>1049.2915738761781</v>
      </c>
      <c r="H56" s="707">
        <f t="shared" si="7"/>
        <v>0</v>
      </c>
      <c r="I56" s="707">
        <f t="shared" si="7"/>
        <v>0</v>
      </c>
      <c r="J56" s="707">
        <f t="shared" si="7"/>
        <v>0</v>
      </c>
      <c r="K56" s="707">
        <f t="shared" si="7"/>
        <v>84.06377316310504</v>
      </c>
      <c r="L56" s="707">
        <f t="shared" si="7"/>
        <v>0</v>
      </c>
      <c r="M56" s="707">
        <f t="shared" si="7"/>
        <v>0</v>
      </c>
      <c r="N56" s="707">
        <f t="shared" si="7"/>
        <v>0</v>
      </c>
      <c r="O56" s="707">
        <f t="shared" si="7"/>
        <v>0</v>
      </c>
      <c r="P56" s="707">
        <f t="shared" si="7"/>
        <v>0</v>
      </c>
      <c r="Q56" s="708">
        <f t="shared" si="7"/>
        <v>0</v>
      </c>
      <c r="R56" s="709">
        <f ca="1">SUM(R54:R55)</f>
        <v>5971.5978224588871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10207.483907231968</v>
      </c>
      <c r="D61" s="715">
        <f t="shared" ref="D61:Q61" ca="1" si="8">D46+D52+D56</f>
        <v>3163.9310924369752</v>
      </c>
      <c r="E61" s="715">
        <f t="shared" ca="1" si="8"/>
        <v>17991.257886683878</v>
      </c>
      <c r="F61" s="715">
        <f t="shared" si="8"/>
        <v>6526.095922531993</v>
      </c>
      <c r="G61" s="715">
        <f t="shared" ca="1" si="8"/>
        <v>2209.0796135817341</v>
      </c>
      <c r="H61" s="715">
        <f t="shared" si="8"/>
        <v>36507.778300312071</v>
      </c>
      <c r="I61" s="715">
        <f t="shared" si="8"/>
        <v>4763.4400304331157</v>
      </c>
      <c r="J61" s="715">
        <f t="shared" si="8"/>
        <v>0</v>
      </c>
      <c r="K61" s="715">
        <f t="shared" si="8"/>
        <v>264.632150835174</v>
      </c>
      <c r="L61" s="715">
        <f t="shared" si="8"/>
        <v>0</v>
      </c>
      <c r="M61" s="715">
        <f t="shared" ca="1" si="8"/>
        <v>0</v>
      </c>
      <c r="N61" s="715">
        <f t="shared" si="8"/>
        <v>0</v>
      </c>
      <c r="O61" s="715">
        <f t="shared" ca="1" si="8"/>
        <v>0</v>
      </c>
      <c r="P61" s="715">
        <f t="shared" si="8"/>
        <v>0</v>
      </c>
      <c r="Q61" s="715">
        <f t="shared" si="8"/>
        <v>0</v>
      </c>
      <c r="R61" s="715">
        <f ca="1">R46+R52+R56</f>
        <v>81633.69890404692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0.18650161030867021</v>
      </c>
      <c r="D63" s="756">
        <f t="shared" ca="1" si="9"/>
        <v>0.17024111339451034</v>
      </c>
      <c r="E63" s="1002">
        <f t="shared" ca="1" si="9"/>
        <v>0.20200000000000001</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5555.6358369550671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3690</v>
      </c>
      <c r="C76" s="725">
        <f>'lokale energieproductie'!B8*IFERROR(SUM(D76:H76)/SUM(D76:O76),0)</f>
        <v>9319.5</v>
      </c>
      <c r="D76" s="1012">
        <f>'lokale energieproductie'!C8</f>
        <v>10964.117647058822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4341.1764705882342</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2214.7517647058821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9245.6358369550671</v>
      </c>
      <c r="C78" s="730">
        <f>SUM(C72:C77)</f>
        <v>9319.5</v>
      </c>
      <c r="D78" s="731">
        <f t="shared" ref="D78:H78" si="10">SUM(D76:D77)</f>
        <v>10964.117647058822</v>
      </c>
      <c r="E78" s="731">
        <f t="shared" si="10"/>
        <v>0</v>
      </c>
      <c r="F78" s="731">
        <f t="shared" si="10"/>
        <v>0</v>
      </c>
      <c r="G78" s="731">
        <f t="shared" si="10"/>
        <v>0</v>
      </c>
      <c r="H78" s="731">
        <f t="shared" si="10"/>
        <v>0</v>
      </c>
      <c r="I78" s="731">
        <f>SUM(I76:I77)</f>
        <v>0</v>
      </c>
      <c r="J78" s="731">
        <f>SUM(J76:J77)</f>
        <v>4341.1764705882342</v>
      </c>
      <c r="K78" s="731">
        <f t="shared" ref="K78:L78" si="11">SUM(K76:K77)</f>
        <v>0</v>
      </c>
      <c r="L78" s="731">
        <f t="shared" si="11"/>
        <v>0</v>
      </c>
      <c r="M78" s="731">
        <f>SUM(M76:M77)</f>
        <v>0</v>
      </c>
      <c r="N78" s="731">
        <f>SUM(N76:N77)</f>
        <v>0</v>
      </c>
      <c r="O78" s="835">
        <f>SUM(O76:O77)</f>
        <v>0</v>
      </c>
      <c r="P78" s="732">
        <v>0</v>
      </c>
      <c r="Q78" s="732">
        <f>SUM(Q76:Q77)</f>
        <v>2214.7517647058821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5271.4285714285716</v>
      </c>
      <c r="C87" s="741">
        <f>'lokale energieproductie'!B17*IFERROR(SUM(D87:H87)/SUM(D87:O87),0)</f>
        <v>13313.571428571431</v>
      </c>
      <c r="D87" s="752">
        <f>'lokale energieproductie'!C17</f>
        <v>15663.025210084035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6201.680672268908</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3163.9310924369752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5271.4285714285716</v>
      </c>
      <c r="C90" s="730">
        <f>SUM(C87:C89)</f>
        <v>13313.571428571431</v>
      </c>
      <c r="D90" s="730">
        <f t="shared" ref="D90:H90" si="12">SUM(D87:D89)</f>
        <v>15663.025210084035</v>
      </c>
      <c r="E90" s="730">
        <f t="shared" si="12"/>
        <v>0</v>
      </c>
      <c r="F90" s="730">
        <f t="shared" si="12"/>
        <v>0</v>
      </c>
      <c r="G90" s="730">
        <f t="shared" si="12"/>
        <v>0</v>
      </c>
      <c r="H90" s="730">
        <f t="shared" si="12"/>
        <v>0</v>
      </c>
      <c r="I90" s="730">
        <f>SUM(I87:I89)</f>
        <v>0</v>
      </c>
      <c r="J90" s="730">
        <f>SUM(J87:J89)</f>
        <v>6201.680672268908</v>
      </c>
      <c r="K90" s="730">
        <f t="shared" ref="K90:L90" si="13">SUM(K87:K89)</f>
        <v>0</v>
      </c>
      <c r="L90" s="730">
        <f t="shared" si="13"/>
        <v>0</v>
      </c>
      <c r="M90" s="730">
        <f>SUM(M87:M89)</f>
        <v>0</v>
      </c>
      <c r="N90" s="730">
        <f>SUM(N87:N89)</f>
        <v>0</v>
      </c>
      <c r="O90" s="730">
        <f>SUM(O87:O89)</f>
        <v>0</v>
      </c>
      <c r="P90" s="730">
        <v>0</v>
      </c>
      <c r="Q90" s="730">
        <f>SUM(Q87:Q89)</f>
        <v>3163.9310924369752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5555.6358369550671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13009.5</v>
      </c>
      <c r="C8" s="545">
        <f>B50</f>
        <v>10964.117647058822</v>
      </c>
      <c r="D8" s="1022"/>
      <c r="E8" s="1022">
        <f>E50</f>
        <v>0</v>
      </c>
      <c r="F8" s="1023"/>
      <c r="G8" s="546"/>
      <c r="H8" s="1022">
        <f>I50</f>
        <v>0</v>
      </c>
      <c r="I8" s="1022">
        <f>G50+F50</f>
        <v>0</v>
      </c>
      <c r="J8" s="1022">
        <f>H50+D50+C50</f>
        <v>4341.1764705882342</v>
      </c>
      <c r="K8" s="1022"/>
      <c r="L8" s="1022"/>
      <c r="M8" s="1022"/>
      <c r="N8" s="547"/>
      <c r="O8" s="548">
        <f>C8*$C$12+D8*$D$12+E8*$E$12+F8*$F$12+G8*$G$12+H8*$H$12+I8*$I$12+J8*$J$12</f>
        <v>2214.7517647058821</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18565.135836955065</v>
      </c>
      <c r="C10" s="558">
        <f t="shared" ref="C10:L10" si="0">SUM(C8:C9)</f>
        <v>10964.117647058822</v>
      </c>
      <c r="D10" s="558">
        <f t="shared" si="0"/>
        <v>0</v>
      </c>
      <c r="E10" s="558">
        <f t="shared" si="0"/>
        <v>0</v>
      </c>
      <c r="F10" s="558">
        <f t="shared" si="0"/>
        <v>0</v>
      </c>
      <c r="G10" s="558">
        <f t="shared" si="0"/>
        <v>0</v>
      </c>
      <c r="H10" s="558">
        <f t="shared" si="0"/>
        <v>0</v>
      </c>
      <c r="I10" s="558">
        <f t="shared" si="0"/>
        <v>0</v>
      </c>
      <c r="J10" s="558">
        <f t="shared" si="0"/>
        <v>4341.1764705882342</v>
      </c>
      <c r="K10" s="558">
        <f t="shared" si="0"/>
        <v>0</v>
      </c>
      <c r="L10" s="558">
        <f t="shared" si="0"/>
        <v>0</v>
      </c>
      <c r="M10" s="1025"/>
      <c r="N10" s="1025"/>
      <c r="O10" s="559">
        <f>SUM(O4:O9)</f>
        <v>2214.7517647058821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18585.000000000004</v>
      </c>
      <c r="C17" s="570">
        <f>B51</f>
        <v>15663.025210084035</v>
      </c>
      <c r="D17" s="571"/>
      <c r="E17" s="571">
        <f>E51</f>
        <v>0</v>
      </c>
      <c r="F17" s="1028"/>
      <c r="G17" s="572"/>
      <c r="H17" s="570">
        <f>I51</f>
        <v>0</v>
      </c>
      <c r="I17" s="571">
        <f>G51+F51</f>
        <v>0</v>
      </c>
      <c r="J17" s="571">
        <f>H51+D51+C51</f>
        <v>6201.680672268908</v>
      </c>
      <c r="K17" s="571"/>
      <c r="L17" s="571"/>
      <c r="M17" s="571"/>
      <c r="N17" s="1029"/>
      <c r="O17" s="573">
        <f>C17*$C$22+E17*$E$22+H17*$H$22+I17*$I$22+J17*$J$22+D17*$D$22+F17*$F$22+G17*$G$22+K17*$K$22+L17*$L$22</f>
        <v>3163.9310924369752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18585.000000000004</v>
      </c>
      <c r="C20" s="557">
        <f>SUM(C17:C19)</f>
        <v>15663.025210084035</v>
      </c>
      <c r="D20" s="557">
        <f t="shared" ref="D20:L20" si="1">SUM(D17:D19)</f>
        <v>0</v>
      </c>
      <c r="E20" s="557">
        <f t="shared" si="1"/>
        <v>0</v>
      </c>
      <c r="F20" s="557">
        <f t="shared" si="1"/>
        <v>0</v>
      </c>
      <c r="G20" s="557">
        <f t="shared" si="1"/>
        <v>0</v>
      </c>
      <c r="H20" s="557">
        <f t="shared" si="1"/>
        <v>0</v>
      </c>
      <c r="I20" s="557">
        <f t="shared" si="1"/>
        <v>0</v>
      </c>
      <c r="J20" s="557">
        <f t="shared" si="1"/>
        <v>6201.680672268908</v>
      </c>
      <c r="K20" s="557">
        <f t="shared" si="1"/>
        <v>0</v>
      </c>
      <c r="L20" s="557">
        <f t="shared" si="1"/>
        <v>0</v>
      </c>
      <c r="M20" s="557"/>
      <c r="N20" s="557"/>
      <c r="O20" s="576">
        <f>SUM(O17:O19)</f>
        <v>3163.9310924369752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46024</v>
      </c>
      <c r="C28" s="771">
        <v>9190</v>
      </c>
      <c r="D28" s="628" t="s">
        <v>913</v>
      </c>
      <c r="E28" s="627" t="s">
        <v>914</v>
      </c>
      <c r="F28" s="627" t="s">
        <v>915</v>
      </c>
      <c r="G28" s="627" t="s">
        <v>916</v>
      </c>
      <c r="H28" s="627" t="s">
        <v>917</v>
      </c>
      <c r="I28" s="627" t="s">
        <v>914</v>
      </c>
      <c r="J28" s="770">
        <v>39904</v>
      </c>
      <c r="K28" s="770">
        <v>39913</v>
      </c>
      <c r="L28" s="627" t="s">
        <v>918</v>
      </c>
      <c r="M28" s="627">
        <v>1562</v>
      </c>
      <c r="N28" s="627">
        <v>7029</v>
      </c>
      <c r="O28" s="627">
        <v>10041.428571428572</v>
      </c>
      <c r="P28" s="627">
        <v>20082.857142857145</v>
      </c>
      <c r="Q28" s="627">
        <v>0</v>
      </c>
      <c r="R28" s="627">
        <v>0</v>
      </c>
      <c r="S28" s="627">
        <v>0</v>
      </c>
      <c r="T28" s="627">
        <v>0</v>
      </c>
      <c r="U28" s="627">
        <v>0</v>
      </c>
      <c r="V28" s="627">
        <v>0</v>
      </c>
      <c r="W28" s="627">
        <v>0</v>
      </c>
      <c r="X28" s="627">
        <v>10</v>
      </c>
      <c r="Y28" s="627" t="s">
        <v>111</v>
      </c>
      <c r="Z28" s="629" t="s">
        <v>111</v>
      </c>
    </row>
    <row r="29" spans="1:26" s="581" customFormat="1" ht="25.5">
      <c r="A29" s="580"/>
      <c r="B29" s="771">
        <v>46024</v>
      </c>
      <c r="C29" s="771">
        <v>9190</v>
      </c>
      <c r="D29" s="628" t="s">
        <v>919</v>
      </c>
      <c r="E29" s="627" t="s">
        <v>920</v>
      </c>
      <c r="F29" s="627" t="s">
        <v>921</v>
      </c>
      <c r="G29" s="627" t="s">
        <v>916</v>
      </c>
      <c r="H29" s="627" t="s">
        <v>917</v>
      </c>
      <c r="I29" s="627" t="s">
        <v>922</v>
      </c>
      <c r="J29" s="770">
        <v>40918</v>
      </c>
      <c r="K29" s="770">
        <v>40918</v>
      </c>
      <c r="L29" s="627" t="s">
        <v>923</v>
      </c>
      <c r="M29" s="627">
        <v>820</v>
      </c>
      <c r="N29" s="627">
        <v>3690</v>
      </c>
      <c r="O29" s="627">
        <v>5271.4285714285716</v>
      </c>
      <c r="P29" s="627">
        <v>0</v>
      </c>
      <c r="Q29" s="627">
        <v>0</v>
      </c>
      <c r="R29" s="627">
        <v>0</v>
      </c>
      <c r="S29" s="627">
        <v>0</v>
      </c>
      <c r="T29" s="627">
        <v>0</v>
      </c>
      <c r="U29" s="627">
        <v>0</v>
      </c>
      <c r="V29" s="627">
        <v>10542.857142857143</v>
      </c>
      <c r="W29" s="627">
        <v>0</v>
      </c>
      <c r="X29" s="627">
        <v>10</v>
      </c>
      <c r="Y29" s="627" t="s">
        <v>111</v>
      </c>
      <c r="Z29" s="629" t="s">
        <v>111</v>
      </c>
    </row>
    <row r="30" spans="1:26" s="581" customFormat="1" ht="25.5">
      <c r="A30" s="580"/>
      <c r="B30" s="771">
        <v>46024</v>
      </c>
      <c r="C30" s="771">
        <v>9190</v>
      </c>
      <c r="D30" s="628" t="s">
        <v>924</v>
      </c>
      <c r="E30" s="627" t="s">
        <v>925</v>
      </c>
      <c r="F30" s="627" t="s">
        <v>926</v>
      </c>
      <c r="G30" s="627" t="s">
        <v>916</v>
      </c>
      <c r="H30" s="627" t="s">
        <v>917</v>
      </c>
      <c r="I30" s="627" t="s">
        <v>925</v>
      </c>
      <c r="J30" s="770">
        <v>41516</v>
      </c>
      <c r="K30" s="770">
        <v>41526</v>
      </c>
      <c r="L30" s="627" t="s">
        <v>918</v>
      </c>
      <c r="M30" s="627">
        <v>509</v>
      </c>
      <c r="N30" s="627">
        <v>2290.5</v>
      </c>
      <c r="O30" s="627">
        <v>3272.1428571428573</v>
      </c>
      <c r="P30" s="627">
        <v>6544.2857142857147</v>
      </c>
      <c r="Q30" s="627">
        <v>0</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2891</v>
      </c>
      <c r="N31" s="585">
        <f>SUM(N28:N30)</f>
        <v>13009.5</v>
      </c>
      <c r="O31" s="585">
        <f>SUM(O28:O30)</f>
        <v>18585.000000000004</v>
      </c>
      <c r="P31" s="585">
        <f>SUM(P28:P30)</f>
        <v>26627.142857142859</v>
      </c>
      <c r="Q31" s="585">
        <f>SUM(Q28:Q30)</f>
        <v>0</v>
      </c>
      <c r="R31" s="585">
        <f>SUM(R28:R30)</f>
        <v>0</v>
      </c>
      <c r="S31" s="585">
        <f>SUM(S28:S30)</f>
        <v>0</v>
      </c>
      <c r="T31" s="585">
        <f>SUM(T28:T30)</f>
        <v>0</v>
      </c>
      <c r="U31" s="585">
        <f>SUM(U28:U30)</f>
        <v>0</v>
      </c>
      <c r="V31" s="585">
        <f>SUM(V28:V30)</f>
        <v>10542.857142857143</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2891</v>
      </c>
      <c r="N34" s="590">
        <f>SUMIF($Z$28:$Z$30,"landbouw",N28:N30)</f>
        <v>13009.5</v>
      </c>
      <c r="O34" s="590">
        <f>SUMIF($Z$28:$Z$30,"landbouw",O28:O30)</f>
        <v>18585.000000000004</v>
      </c>
      <c r="P34" s="590">
        <f>SUMIF($Z$28:$Z$30,"landbouw",P28:P30)</f>
        <v>26627.142857142859</v>
      </c>
      <c r="Q34" s="590">
        <f>SUMIF($Z$28:$Z$30,"landbouw",Q28:Q30)</f>
        <v>0</v>
      </c>
      <c r="R34" s="590">
        <f>SUMIF($Z$28:$Z$30,"landbouw",R28:R30)</f>
        <v>0</v>
      </c>
      <c r="S34" s="590">
        <f>SUMIF($Z$28:$Z$30,"landbouw",S28:S30)</f>
        <v>0</v>
      </c>
      <c r="T34" s="590">
        <f>SUMIF($Z$28:$Z$30,"landbouw",T28:T30)</f>
        <v>0</v>
      </c>
      <c r="U34" s="590">
        <f>SUMIF($Z$28:$Z$30,"landbouw",U28:U30)</f>
        <v>0</v>
      </c>
      <c r="V34" s="590">
        <f>SUMIF($Z$28:$Z$30,"landbouw",V28:V30)</f>
        <v>10542.857142857143</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0.41176470588235287</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10964.117647058822</v>
      </c>
      <c r="C50" s="619">
        <f t="shared" si="2"/>
        <v>0</v>
      </c>
      <c r="D50" s="619">
        <f t="shared" si="2"/>
        <v>0</v>
      </c>
      <c r="E50" s="619">
        <f t="shared" si="2"/>
        <v>0</v>
      </c>
      <c r="F50" s="619">
        <f t="shared" si="2"/>
        <v>0</v>
      </c>
      <c r="G50" s="619">
        <f t="shared" si="2"/>
        <v>0</v>
      </c>
      <c r="H50" s="619">
        <f t="shared" si="2"/>
        <v>4341.1764705882342</v>
      </c>
      <c r="I50" s="620">
        <f t="shared" si="2"/>
        <v>0</v>
      </c>
      <c r="J50" s="577"/>
      <c r="K50" s="577"/>
      <c r="L50" s="615"/>
      <c r="M50" s="615"/>
      <c r="N50" s="615"/>
      <c r="O50" s="602"/>
      <c r="P50" s="602"/>
    </row>
    <row r="51" spans="1:16" ht="15.75" thickBot="1">
      <c r="A51" s="621" t="s">
        <v>285</v>
      </c>
      <c r="B51" s="622">
        <f t="shared" ref="B51:I51" si="3">$B$47*P31</f>
        <v>15663.025210084035</v>
      </c>
      <c r="C51" s="622">
        <f t="shared" si="3"/>
        <v>0</v>
      </c>
      <c r="D51" s="622">
        <f t="shared" si="3"/>
        <v>0</v>
      </c>
      <c r="E51" s="622">
        <f t="shared" si="3"/>
        <v>0</v>
      </c>
      <c r="F51" s="622">
        <f t="shared" si="3"/>
        <v>0</v>
      </c>
      <c r="G51" s="622">
        <f t="shared" si="3"/>
        <v>0</v>
      </c>
      <c r="H51" s="622">
        <f t="shared" si="3"/>
        <v>6201.680672268908</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33606.723394308581</v>
      </c>
      <c r="C4" s="452">
        <f>huishoudens!C8</f>
        <v>0</v>
      </c>
      <c r="D4" s="452">
        <f>huishoudens!D8</f>
        <v>68908.82497316612</v>
      </c>
      <c r="E4" s="452">
        <f>huishoudens!E8</f>
        <v>27759.91598067592</v>
      </c>
      <c r="F4" s="452">
        <f>huishoudens!F8</f>
        <v>0</v>
      </c>
      <c r="G4" s="452">
        <f>huishoudens!G8</f>
        <v>0</v>
      </c>
      <c r="H4" s="452">
        <f>huishoudens!H8</f>
        <v>0</v>
      </c>
      <c r="I4" s="452">
        <f>huishoudens!I8</f>
        <v>0</v>
      </c>
      <c r="J4" s="452">
        <f>huishoudens!J8</f>
        <v>493.48119790079647</v>
      </c>
      <c r="K4" s="452">
        <f>huishoudens!K8</f>
        <v>0</v>
      </c>
      <c r="L4" s="452">
        <f>huishoudens!L8</f>
        <v>0</v>
      </c>
      <c r="M4" s="452">
        <f>huishoudens!M8</f>
        <v>0</v>
      </c>
      <c r="N4" s="452">
        <f>huishoudens!N8</f>
        <v>22259.175994628124</v>
      </c>
      <c r="O4" s="452">
        <f>huishoudens!O8</f>
        <v>170.40333333333334</v>
      </c>
      <c r="P4" s="453">
        <f>huishoudens!P8</f>
        <v>591.06666666666661</v>
      </c>
      <c r="Q4" s="454">
        <f>SUM(B4:P4)</f>
        <v>153789.59154067954</v>
      </c>
    </row>
    <row r="5" spans="1:17">
      <c r="A5" s="451" t="s">
        <v>155</v>
      </c>
      <c r="B5" s="452">
        <f ca="1">tertiair!B16</f>
        <v>12630.890879</v>
      </c>
      <c r="C5" s="452">
        <f ca="1">tertiair!C16</f>
        <v>0</v>
      </c>
      <c r="D5" s="452">
        <f ca="1">tertiair!D16</f>
        <v>12816.974665985319</v>
      </c>
      <c r="E5" s="452">
        <f>tertiair!E16</f>
        <v>172.83374084250315</v>
      </c>
      <c r="F5" s="452">
        <f ca="1">tertiair!F16</f>
        <v>1977.1729799408429</v>
      </c>
      <c r="G5" s="452">
        <f>tertiair!G16</f>
        <v>0</v>
      </c>
      <c r="H5" s="452">
        <f>tertiair!H16</f>
        <v>0</v>
      </c>
      <c r="I5" s="452">
        <f>tertiair!I16</f>
        <v>0</v>
      </c>
      <c r="J5" s="452">
        <f>tertiair!J16</f>
        <v>0</v>
      </c>
      <c r="K5" s="452">
        <f>tertiair!K16</f>
        <v>0</v>
      </c>
      <c r="L5" s="452">
        <f ca="1">tertiair!L16</f>
        <v>0</v>
      </c>
      <c r="M5" s="452">
        <f>tertiair!M16</f>
        <v>0</v>
      </c>
      <c r="N5" s="452">
        <f ca="1">tertiair!N16</f>
        <v>1164.947003553408</v>
      </c>
      <c r="O5" s="452">
        <f>tertiair!O16</f>
        <v>4.6900000000000004</v>
      </c>
      <c r="P5" s="453">
        <f>tertiair!P16</f>
        <v>19.066666666666666</v>
      </c>
      <c r="Q5" s="451">
        <f t="shared" ref="Q5:Q14" ca="1" si="0">SUM(B5:P5)</f>
        <v>28786.575935988734</v>
      </c>
    </row>
    <row r="6" spans="1:17">
      <c r="A6" s="451" t="s">
        <v>193</v>
      </c>
      <c r="B6" s="452">
        <f>'openbare verlichting'!B8</f>
        <v>1124.32</v>
      </c>
      <c r="C6" s="452"/>
      <c r="D6" s="452"/>
      <c r="E6" s="452"/>
      <c r="F6" s="452"/>
      <c r="G6" s="452"/>
      <c r="H6" s="452"/>
      <c r="I6" s="452"/>
      <c r="J6" s="452"/>
      <c r="K6" s="452"/>
      <c r="L6" s="452"/>
      <c r="M6" s="452"/>
      <c r="N6" s="452"/>
      <c r="O6" s="452"/>
      <c r="P6" s="453"/>
      <c r="Q6" s="451">
        <f t="shared" si="0"/>
        <v>1124.32</v>
      </c>
    </row>
    <row r="7" spans="1:17">
      <c r="A7" s="451" t="s">
        <v>111</v>
      </c>
      <c r="B7" s="452">
        <f>landbouw!B8</f>
        <v>1548.9302</v>
      </c>
      <c r="C7" s="452">
        <f>landbouw!C8</f>
        <v>18585.000000000004</v>
      </c>
      <c r="D7" s="452">
        <f>landbouw!D8</f>
        <v>2220.6083646992556</v>
      </c>
      <c r="E7" s="452">
        <f>landbouw!E8</f>
        <v>14.346840264002253</v>
      </c>
      <c r="F7" s="452">
        <f>landbouw!F8</f>
        <v>3929.9309883002925</v>
      </c>
      <c r="G7" s="452">
        <f>landbouw!G8</f>
        <v>0</v>
      </c>
      <c r="H7" s="452">
        <f>landbouw!H8</f>
        <v>0</v>
      </c>
      <c r="I7" s="452">
        <f>landbouw!I8</f>
        <v>0</v>
      </c>
      <c r="J7" s="452">
        <f>landbouw!J8</f>
        <v>237.46828577148318</v>
      </c>
      <c r="K7" s="452">
        <f>landbouw!K8</f>
        <v>0</v>
      </c>
      <c r="L7" s="452">
        <f>landbouw!L8</f>
        <v>0</v>
      </c>
      <c r="M7" s="452">
        <f>landbouw!M8</f>
        <v>0</v>
      </c>
      <c r="N7" s="452">
        <f>landbouw!N8</f>
        <v>0</v>
      </c>
      <c r="O7" s="452">
        <f>landbouw!O8</f>
        <v>0</v>
      </c>
      <c r="P7" s="453">
        <f>landbouw!P8</f>
        <v>0</v>
      </c>
      <c r="Q7" s="451">
        <f t="shared" si="0"/>
        <v>26536.284679035038</v>
      </c>
    </row>
    <row r="8" spans="1:17">
      <c r="A8" s="451" t="s">
        <v>649</v>
      </c>
      <c r="B8" s="452">
        <f>industrie!B18</f>
        <v>3335.8714100000002</v>
      </c>
      <c r="C8" s="452">
        <f>industrie!C18</f>
        <v>0</v>
      </c>
      <c r="D8" s="452">
        <f>industrie!D18</f>
        <v>2746.6944565634276</v>
      </c>
      <c r="E8" s="452">
        <f>industrie!E18</f>
        <v>476.52659446936309</v>
      </c>
      <c r="F8" s="452">
        <f>industrie!F18</f>
        <v>2366.6024496679815</v>
      </c>
      <c r="G8" s="452">
        <f>industrie!G18</f>
        <v>0</v>
      </c>
      <c r="H8" s="452">
        <f>industrie!H18</f>
        <v>0</v>
      </c>
      <c r="I8" s="452">
        <f>industrie!I18</f>
        <v>0</v>
      </c>
      <c r="J8" s="452">
        <f>industrie!J18</f>
        <v>16.598965014652606</v>
      </c>
      <c r="K8" s="452">
        <f>industrie!K18</f>
        <v>0</v>
      </c>
      <c r="L8" s="452">
        <f>industrie!L18</f>
        <v>0</v>
      </c>
      <c r="M8" s="452">
        <f>industrie!M18</f>
        <v>0</v>
      </c>
      <c r="N8" s="452">
        <f>industrie!N18</f>
        <v>437.47216987061324</v>
      </c>
      <c r="O8" s="452">
        <f>industrie!O18</f>
        <v>0</v>
      </c>
      <c r="P8" s="453">
        <f>industrie!P18</f>
        <v>0</v>
      </c>
      <c r="Q8" s="451">
        <f t="shared" si="0"/>
        <v>9379.7660455860369</v>
      </c>
    </row>
    <row r="9" spans="1:17" s="457" customFormat="1">
      <c r="A9" s="455" t="s">
        <v>570</v>
      </c>
      <c r="B9" s="456">
        <f>transport!B14</f>
        <v>14.721743357285275</v>
      </c>
      <c r="C9" s="456">
        <f>transport!C14</f>
        <v>0</v>
      </c>
      <c r="D9" s="456">
        <f>transport!D14</f>
        <v>31.065883380975112</v>
      </c>
      <c r="E9" s="456">
        <f>transport!E14</f>
        <v>325.69808838253982</v>
      </c>
      <c r="F9" s="456">
        <f>transport!F14</f>
        <v>0</v>
      </c>
      <c r="G9" s="456">
        <f>transport!G14</f>
        <v>135368.02318775366</v>
      </c>
      <c r="H9" s="456">
        <f>transport!H14</f>
        <v>19130.28124671934</v>
      </c>
      <c r="I9" s="456">
        <f>transport!I14</f>
        <v>0</v>
      </c>
      <c r="J9" s="456">
        <f>transport!J14</f>
        <v>0</v>
      </c>
      <c r="K9" s="456">
        <f>transport!K14</f>
        <v>0</v>
      </c>
      <c r="L9" s="456">
        <f>transport!L14</f>
        <v>0</v>
      </c>
      <c r="M9" s="456">
        <f>transport!M14</f>
        <v>8431.780650041399</v>
      </c>
      <c r="N9" s="456">
        <f>transport!N14</f>
        <v>0</v>
      </c>
      <c r="O9" s="456">
        <f>transport!O14</f>
        <v>0</v>
      </c>
      <c r="P9" s="456">
        <f>transport!P14</f>
        <v>0</v>
      </c>
      <c r="Q9" s="455">
        <f>SUM(B9:P9)</f>
        <v>163301.57079963517</v>
      </c>
    </row>
    <row r="10" spans="1:17">
      <c r="A10" s="451" t="s">
        <v>560</v>
      </c>
      <c r="B10" s="452">
        <f>transport!B54</f>
        <v>0</v>
      </c>
      <c r="C10" s="452">
        <f>transport!C54</f>
        <v>0</v>
      </c>
      <c r="D10" s="452">
        <f>transport!D54</f>
        <v>0</v>
      </c>
      <c r="E10" s="452">
        <f>transport!E54</f>
        <v>0</v>
      </c>
      <c r="F10" s="452">
        <f>transport!F54</f>
        <v>0</v>
      </c>
      <c r="G10" s="452">
        <f>transport!G54</f>
        <v>1365.2288733402424</v>
      </c>
      <c r="H10" s="452">
        <f>transport!H54</f>
        <v>0</v>
      </c>
      <c r="I10" s="452">
        <f>transport!I54</f>
        <v>0</v>
      </c>
      <c r="J10" s="452">
        <f>transport!J54</f>
        <v>0</v>
      </c>
      <c r="K10" s="452">
        <f>transport!K54</f>
        <v>0</v>
      </c>
      <c r="L10" s="452">
        <f>transport!L54</f>
        <v>0</v>
      </c>
      <c r="M10" s="452">
        <f>transport!M54</f>
        <v>78.032327042235735</v>
      </c>
      <c r="N10" s="452">
        <f>transport!N54</f>
        <v>0</v>
      </c>
      <c r="O10" s="452">
        <f>transport!O54</f>
        <v>0</v>
      </c>
      <c r="P10" s="453">
        <f>transport!P54</f>
        <v>0</v>
      </c>
      <c r="Q10" s="451">
        <f t="shared" si="0"/>
        <v>1443.2612003824781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2469.8870000000002</v>
      </c>
      <c r="C14" s="459"/>
      <c r="D14" s="459">
        <f>'SEAP template'!E25</f>
        <v>2341.4647586003402</v>
      </c>
      <c r="E14" s="459"/>
      <c r="F14" s="459"/>
      <c r="G14" s="459"/>
      <c r="H14" s="459"/>
      <c r="I14" s="459"/>
      <c r="J14" s="459"/>
      <c r="K14" s="459"/>
      <c r="L14" s="459"/>
      <c r="M14" s="459"/>
      <c r="N14" s="459"/>
      <c r="O14" s="459"/>
      <c r="P14" s="460"/>
      <c r="Q14" s="451">
        <f t="shared" si="0"/>
        <v>4811.35175860034</v>
      </c>
    </row>
    <row r="15" spans="1:17" s="461" customFormat="1">
      <c r="A15" s="1017" t="s">
        <v>564</v>
      </c>
      <c r="B15" s="957">
        <f ca="1">SUM(B4:B14)</f>
        <v>54731.344626665872</v>
      </c>
      <c r="C15" s="957">
        <f t="shared" ref="C15:Q15" ca="1" si="1">SUM(C4:C14)</f>
        <v>18585.000000000004</v>
      </c>
      <c r="D15" s="957">
        <f t="shared" ca="1" si="1"/>
        <v>89065.633102395441</v>
      </c>
      <c r="E15" s="957">
        <f t="shared" si="1"/>
        <v>28749.321244634328</v>
      </c>
      <c r="F15" s="957">
        <f t="shared" ca="1" si="1"/>
        <v>8273.7064179091176</v>
      </c>
      <c r="G15" s="957">
        <f t="shared" si="1"/>
        <v>136733.2520610939</v>
      </c>
      <c r="H15" s="957">
        <f t="shared" si="1"/>
        <v>19130.28124671934</v>
      </c>
      <c r="I15" s="957">
        <f t="shared" si="1"/>
        <v>0</v>
      </c>
      <c r="J15" s="957">
        <f t="shared" si="1"/>
        <v>747.54844868693226</v>
      </c>
      <c r="K15" s="957">
        <f t="shared" si="1"/>
        <v>0</v>
      </c>
      <c r="L15" s="957">
        <f t="shared" ca="1" si="1"/>
        <v>0</v>
      </c>
      <c r="M15" s="957">
        <f t="shared" si="1"/>
        <v>8509.8129770836349</v>
      </c>
      <c r="N15" s="957">
        <f t="shared" ca="1" si="1"/>
        <v>23861.595168052143</v>
      </c>
      <c r="O15" s="957">
        <f t="shared" si="1"/>
        <v>175.09333333333333</v>
      </c>
      <c r="P15" s="957">
        <f t="shared" si="1"/>
        <v>610.13333333333333</v>
      </c>
      <c r="Q15" s="957">
        <f t="shared" ca="1" si="1"/>
        <v>389172.72195990733</v>
      </c>
    </row>
    <row r="17" spans="1:17">
      <c r="A17" s="462" t="s">
        <v>565</v>
      </c>
      <c r="B17" s="761">
        <f ca="1">huishoudens!B10</f>
        <v>0.18650161030867024</v>
      </c>
      <c r="C17" s="761">
        <f ca="1">huishoudens!C10</f>
        <v>0.17024111339451034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6267.7080302366103</v>
      </c>
      <c r="C22" s="452">
        <f t="shared" ref="C22:C32" ca="1" si="3">C4*$C$17</f>
        <v>0</v>
      </c>
      <c r="D22" s="452">
        <f t="shared" ref="D22:D32" si="4">D4*$D$17</f>
        <v>13919.582644579557</v>
      </c>
      <c r="E22" s="452">
        <f t="shared" ref="E22:E32" si="5">E4*$E$17</f>
        <v>6301.5009276134342</v>
      </c>
      <c r="F22" s="452">
        <f t="shared" ref="F22:F32" si="6">F4*$F$17</f>
        <v>0</v>
      </c>
      <c r="G22" s="452">
        <f t="shared" ref="G22:G32" si="7">G4*$G$17</f>
        <v>0</v>
      </c>
      <c r="H22" s="452">
        <f t="shared" ref="H22:H32" si="8">H4*$H$17</f>
        <v>0</v>
      </c>
      <c r="I22" s="452">
        <f t="shared" ref="I22:I32" si="9">I4*$I$17</f>
        <v>0</v>
      </c>
      <c r="J22" s="452">
        <f t="shared" ref="J22:J32" si="10">J4*$J$17</f>
        <v>174.69234405688195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26663.483946486485</v>
      </c>
    </row>
    <row r="23" spans="1:17">
      <c r="A23" s="451" t="s">
        <v>155</v>
      </c>
      <c r="B23" s="452">
        <f t="shared" ca="1" si="2"/>
        <v>2355.6814885665954</v>
      </c>
      <c r="C23" s="452">
        <f t="shared" ca="1" si="3"/>
        <v>0</v>
      </c>
      <c r="D23" s="452">
        <f t="shared" ca="1" si="4"/>
        <v>2589.0288825290345</v>
      </c>
      <c r="E23" s="452">
        <f t="shared" si="5"/>
        <v>39.233259171248214</v>
      </c>
      <c r="F23" s="452">
        <f t="shared" ca="1" si="6"/>
        <v>527.90518564420506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5511.848815911083</v>
      </c>
    </row>
    <row r="24" spans="1:17">
      <c r="A24" s="451" t="s">
        <v>193</v>
      </c>
      <c r="B24" s="452">
        <f t="shared" ca="1" si="2"/>
        <v>209.68749050224412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209.68749050224412</v>
      </c>
    </row>
    <row r="25" spans="1:17">
      <c r="A25" s="451" t="s">
        <v>111</v>
      </c>
      <c r="B25" s="452">
        <f t="shared" ca="1" si="2"/>
        <v>288.87797655573064</v>
      </c>
      <c r="C25" s="452">
        <f t="shared" ca="1" si="3"/>
        <v>3163.9310924369752</v>
      </c>
      <c r="D25" s="452">
        <f t="shared" si="4"/>
        <v>448.56288966924967</v>
      </c>
      <c r="E25" s="452">
        <f t="shared" si="5"/>
        <v>3.2567327399285118</v>
      </c>
      <c r="F25" s="452">
        <f t="shared" si="6"/>
        <v>1049.2915738761781</v>
      </c>
      <c r="G25" s="452">
        <f t="shared" si="7"/>
        <v>0</v>
      </c>
      <c r="H25" s="452">
        <f t="shared" si="8"/>
        <v>0</v>
      </c>
      <c r="I25" s="452">
        <f t="shared" si="9"/>
        <v>0</v>
      </c>
      <c r="J25" s="452">
        <f t="shared" si="10"/>
        <v>84.06377316310504</v>
      </c>
      <c r="K25" s="452">
        <f t="shared" si="11"/>
        <v>0</v>
      </c>
      <c r="L25" s="452">
        <f t="shared" si="12"/>
        <v>0</v>
      </c>
      <c r="M25" s="452">
        <f t="shared" si="13"/>
        <v>0</v>
      </c>
      <c r="N25" s="452">
        <f t="shared" si="14"/>
        <v>0</v>
      </c>
      <c r="O25" s="452">
        <f t="shared" si="15"/>
        <v>0</v>
      </c>
      <c r="P25" s="453">
        <f t="shared" si="16"/>
        <v>0</v>
      </c>
      <c r="Q25" s="451">
        <f t="shared" ca="1" si="17"/>
        <v>5037.9840384411673</v>
      </c>
    </row>
    <row r="26" spans="1:17">
      <c r="A26" s="451" t="s">
        <v>649</v>
      </c>
      <c r="B26" s="452">
        <f t="shared" ca="1" si="2"/>
        <v>622.14538974765435</v>
      </c>
      <c r="C26" s="452">
        <f t="shared" ca="1" si="3"/>
        <v>0</v>
      </c>
      <c r="D26" s="452">
        <f t="shared" si="4"/>
        <v>554.83228022581238</v>
      </c>
      <c r="E26" s="452">
        <f t="shared" si="5"/>
        <v>108.17153694454542</v>
      </c>
      <c r="F26" s="452">
        <f t="shared" si="6"/>
        <v>631.88285406135105</v>
      </c>
      <c r="G26" s="452">
        <f t="shared" si="7"/>
        <v>0</v>
      </c>
      <c r="H26" s="452">
        <f t="shared" si="8"/>
        <v>0</v>
      </c>
      <c r="I26" s="452">
        <f t="shared" si="9"/>
        <v>0</v>
      </c>
      <c r="J26" s="452">
        <f t="shared" si="10"/>
        <v>5.8760336151870218</v>
      </c>
      <c r="K26" s="452">
        <f t="shared" si="11"/>
        <v>0</v>
      </c>
      <c r="L26" s="452">
        <f t="shared" si="12"/>
        <v>0</v>
      </c>
      <c r="M26" s="452">
        <f t="shared" si="13"/>
        <v>0</v>
      </c>
      <c r="N26" s="452">
        <f t="shared" si="14"/>
        <v>0</v>
      </c>
      <c r="O26" s="452">
        <f t="shared" si="15"/>
        <v>0</v>
      </c>
      <c r="P26" s="453">
        <f t="shared" si="16"/>
        <v>0</v>
      </c>
      <c r="Q26" s="451">
        <f t="shared" ca="1" si="17"/>
        <v>1922.90809459455</v>
      </c>
    </row>
    <row r="27" spans="1:17" s="457" customFormat="1">
      <c r="A27" s="455" t="s">
        <v>570</v>
      </c>
      <c r="B27" s="755">
        <f t="shared" ca="1" si="2"/>
        <v>2.7456288426846731</v>
      </c>
      <c r="C27" s="456">
        <f t="shared" ca="1" si="3"/>
        <v>0</v>
      </c>
      <c r="D27" s="456">
        <f t="shared" si="4"/>
        <v>6.2753084429569732</v>
      </c>
      <c r="E27" s="456">
        <f t="shared" si="5"/>
        <v>73.933466062836544</v>
      </c>
      <c r="F27" s="456">
        <f t="shared" si="6"/>
        <v>0</v>
      </c>
      <c r="G27" s="456">
        <f t="shared" si="7"/>
        <v>36143.262191130227</v>
      </c>
      <c r="H27" s="456">
        <f t="shared" si="8"/>
        <v>4763.4400304331157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40989.656624911819</v>
      </c>
    </row>
    <row r="28" spans="1:17">
      <c r="A28" s="451" t="s">
        <v>560</v>
      </c>
      <c r="B28" s="452">
        <f t="shared" ca="1" si="2"/>
        <v>0</v>
      </c>
      <c r="C28" s="452">
        <f t="shared" ca="1" si="3"/>
        <v>0</v>
      </c>
      <c r="D28" s="452">
        <f t="shared" si="4"/>
        <v>0</v>
      </c>
      <c r="E28" s="452">
        <f t="shared" si="5"/>
        <v>0</v>
      </c>
      <c r="F28" s="452">
        <f t="shared" si="6"/>
        <v>0</v>
      </c>
      <c r="G28" s="452">
        <f t="shared" si="7"/>
        <v>364.51610918184474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364.51610918184474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460.63790278045064</v>
      </c>
      <c r="C32" s="452">
        <f t="shared" ca="1" si="3"/>
        <v>0</v>
      </c>
      <c r="D32" s="452">
        <f t="shared" si="4"/>
        <v>472.97588123726877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933.61378401771935</v>
      </c>
    </row>
    <row r="33" spans="1:17" s="461" customFormat="1">
      <c r="A33" s="1017" t="s">
        <v>564</v>
      </c>
      <c r="B33" s="957">
        <f ca="1">SUM(B22:B32)</f>
        <v>10207.483907231968</v>
      </c>
      <c r="C33" s="957">
        <f t="shared" ref="C33:Q33" ca="1" si="18">SUM(C22:C32)</f>
        <v>3163.9310924369752</v>
      </c>
      <c r="D33" s="957">
        <f t="shared" ca="1" si="18"/>
        <v>17991.257886683878</v>
      </c>
      <c r="E33" s="957">
        <f t="shared" si="18"/>
        <v>6526.095922531993</v>
      </c>
      <c r="F33" s="957">
        <f t="shared" ca="1" si="18"/>
        <v>2209.0796135817345</v>
      </c>
      <c r="G33" s="957">
        <f t="shared" si="18"/>
        <v>36507.778300312071</v>
      </c>
      <c r="H33" s="957">
        <f t="shared" si="18"/>
        <v>4763.4400304331157</v>
      </c>
      <c r="I33" s="957">
        <f t="shared" si="18"/>
        <v>0</v>
      </c>
      <c r="J33" s="957">
        <f t="shared" si="18"/>
        <v>264.632150835174</v>
      </c>
      <c r="K33" s="957">
        <f t="shared" si="18"/>
        <v>0</v>
      </c>
      <c r="L33" s="957">
        <f t="shared" ca="1" si="18"/>
        <v>0</v>
      </c>
      <c r="M33" s="957">
        <f t="shared" si="18"/>
        <v>0</v>
      </c>
      <c r="N33" s="957">
        <f t="shared" ca="1" si="18"/>
        <v>0</v>
      </c>
      <c r="O33" s="957">
        <f t="shared" si="18"/>
        <v>0</v>
      </c>
      <c r="P33" s="957">
        <f t="shared" si="18"/>
        <v>0</v>
      </c>
      <c r="Q33" s="957">
        <f t="shared" ca="1" si="18"/>
        <v>81633.69890404692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5555.6358369550671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3690</v>
      </c>
      <c r="C8" s="1034">
        <f>'SEAP template'!C76</f>
        <v>9319.5</v>
      </c>
      <c r="D8" s="1034">
        <f>'SEAP template'!D76</f>
        <v>10964.117647058822</v>
      </c>
      <c r="E8" s="1034">
        <f>'SEAP template'!E76</f>
        <v>0</v>
      </c>
      <c r="F8" s="1034">
        <f>'SEAP template'!F76</f>
        <v>0</v>
      </c>
      <c r="G8" s="1034">
        <f>'SEAP template'!G76</f>
        <v>0</v>
      </c>
      <c r="H8" s="1034">
        <f>'SEAP template'!H76</f>
        <v>0</v>
      </c>
      <c r="I8" s="1034">
        <f>'SEAP template'!I76</f>
        <v>0</v>
      </c>
      <c r="J8" s="1034">
        <f>'SEAP template'!J76</f>
        <v>4341.1764705882342</v>
      </c>
      <c r="K8" s="1034">
        <f>'SEAP template'!K76</f>
        <v>0</v>
      </c>
      <c r="L8" s="1034">
        <f>'SEAP template'!L76</f>
        <v>0</v>
      </c>
      <c r="M8" s="1034">
        <f>'SEAP template'!M76</f>
        <v>0</v>
      </c>
      <c r="N8" s="1034">
        <f>'SEAP template'!N76</f>
        <v>0</v>
      </c>
      <c r="O8" s="1034">
        <f>'SEAP template'!O76</f>
        <v>0</v>
      </c>
      <c r="P8" s="1035">
        <f>'SEAP template'!Q76</f>
        <v>2214.7517647058821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9245.6358369550671</v>
      </c>
      <c r="C10" s="1038">
        <f>SUM(C4:C9)</f>
        <v>9319.5</v>
      </c>
      <c r="D10" s="1038">
        <f t="shared" ref="D10:H10" si="0">SUM(D8:D9)</f>
        <v>10964.117647058822</v>
      </c>
      <c r="E10" s="1038">
        <f t="shared" si="0"/>
        <v>0</v>
      </c>
      <c r="F10" s="1038">
        <f t="shared" si="0"/>
        <v>0</v>
      </c>
      <c r="G10" s="1038">
        <f t="shared" si="0"/>
        <v>0</v>
      </c>
      <c r="H10" s="1038">
        <f t="shared" si="0"/>
        <v>0</v>
      </c>
      <c r="I10" s="1038">
        <f>SUM(I8:I9)</f>
        <v>0</v>
      </c>
      <c r="J10" s="1038">
        <f>SUM(J8:J9)</f>
        <v>4341.1764705882342</v>
      </c>
      <c r="K10" s="1038">
        <f t="shared" ref="K10:L10" si="1">SUM(K8:K9)</f>
        <v>0</v>
      </c>
      <c r="L10" s="1038">
        <f t="shared" si="1"/>
        <v>0</v>
      </c>
      <c r="M10" s="1038">
        <f>SUM(M8:M9)</f>
        <v>0</v>
      </c>
      <c r="N10" s="1038">
        <f>SUM(N8:N9)</f>
        <v>0</v>
      </c>
      <c r="O10" s="1038">
        <f>SUM(O8:O9)</f>
        <v>0</v>
      </c>
      <c r="P10" s="1038">
        <f>SUM(P8:P9)</f>
        <v>2214.7517647058821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0.18650161030867024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5271.4285714285716</v>
      </c>
      <c r="C17" s="1040">
        <f>'SEAP template'!C87</f>
        <v>13313.571428571431</v>
      </c>
      <c r="D17" s="1035">
        <f>'SEAP template'!D87</f>
        <v>15663.025210084035</v>
      </c>
      <c r="E17" s="1035">
        <f>'SEAP template'!E87</f>
        <v>0</v>
      </c>
      <c r="F17" s="1035">
        <f>'SEAP template'!F87</f>
        <v>0</v>
      </c>
      <c r="G17" s="1035">
        <f>'SEAP template'!G87</f>
        <v>0</v>
      </c>
      <c r="H17" s="1035">
        <f>'SEAP template'!H87</f>
        <v>0</v>
      </c>
      <c r="I17" s="1035">
        <f>'SEAP template'!I87</f>
        <v>0</v>
      </c>
      <c r="J17" s="1035">
        <f>'SEAP template'!J87</f>
        <v>6201.680672268908</v>
      </c>
      <c r="K17" s="1035">
        <f>'SEAP template'!K87</f>
        <v>0</v>
      </c>
      <c r="L17" s="1035">
        <f>'SEAP template'!L87</f>
        <v>0</v>
      </c>
      <c r="M17" s="1035">
        <f>'SEAP template'!M87</f>
        <v>0</v>
      </c>
      <c r="N17" s="1035">
        <f>'SEAP template'!N87</f>
        <v>0</v>
      </c>
      <c r="O17" s="1035">
        <f>'SEAP template'!O87</f>
        <v>0</v>
      </c>
      <c r="P17" s="1035">
        <f>'SEAP template'!Q87</f>
        <v>3163.9310924369752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5271.4285714285716</v>
      </c>
      <c r="C20" s="1038">
        <f>SUM(C17:C19)</f>
        <v>13313.571428571431</v>
      </c>
      <c r="D20" s="1038">
        <f t="shared" ref="D20:H20" si="2">SUM(D17:D19)</f>
        <v>15663.025210084035</v>
      </c>
      <c r="E20" s="1038">
        <f t="shared" si="2"/>
        <v>0</v>
      </c>
      <c r="F20" s="1038">
        <f t="shared" si="2"/>
        <v>0</v>
      </c>
      <c r="G20" s="1038">
        <f t="shared" si="2"/>
        <v>0</v>
      </c>
      <c r="H20" s="1038">
        <f t="shared" si="2"/>
        <v>0</v>
      </c>
      <c r="I20" s="1038">
        <f>SUM(I17:I19)</f>
        <v>0</v>
      </c>
      <c r="J20" s="1038">
        <f>SUM(J17:J19)</f>
        <v>6201.680672268908</v>
      </c>
      <c r="K20" s="1038">
        <f t="shared" ref="K20:L20" si="3">SUM(K17:K19)</f>
        <v>0</v>
      </c>
      <c r="L20" s="1038">
        <f t="shared" si="3"/>
        <v>0</v>
      </c>
      <c r="M20" s="1038">
        <f>SUM(M17:M19)</f>
        <v>0</v>
      </c>
      <c r="N20" s="1038">
        <f>SUM(N17:N19)</f>
        <v>0</v>
      </c>
      <c r="O20" s="1038">
        <f>SUM(O17:O19)</f>
        <v>0</v>
      </c>
      <c r="P20" s="1038">
        <f>SUM(P17:P19)</f>
        <v>3163.9310924369752</v>
      </c>
    </row>
    <row r="22" spans="1:16">
      <c r="A22" s="462" t="s">
        <v>873</v>
      </c>
      <c r="B22" s="761" t="s">
        <v>867</v>
      </c>
      <c r="C22" s="761">
        <f ca="1">'EF ele_warmte'!B22</f>
        <v>0.17024111339451034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0.18650161030867024</v>
      </c>
      <c r="C17" s="499">
        <f ca="1">'EF ele_warmte'!B22</f>
        <v>0.17024111339451034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2020-06-20T16:11:14Z</dcterms:modified>
</cp:coreProperties>
</file>