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E88" i="14" s="1"/>
  <c r="E18" i="59" s="1"/>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L6" i="17" s="1"/>
  <c r="T35" i="18"/>
  <c r="S35" i="18"/>
  <c r="F6" i="17" s="1"/>
  <c r="R35" i="18"/>
  <c r="Q35" i="18"/>
  <c r="P35" i="18"/>
  <c r="O35" i="18"/>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N6" i="17" l="1"/>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2"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52" i="18" l="1"/>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J17" i="18"/>
  <c r="J87" i="14" s="1"/>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J15" i="16"/>
  <c r="B7" i="48"/>
  <c r="C24" i="14"/>
  <c r="C26" i="14" s="1"/>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F24" i="14"/>
  <c r="F26" i="14" s="1"/>
  <c r="E7" i="48"/>
  <c r="E25" i="48" s="1"/>
  <c r="Q63" i="14"/>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N22" i="14"/>
  <c r="N27"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E33" i="48"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<sst xmlns="http://schemas.openxmlformats.org/spreadsheetml/2006/main" count="2470" uniqueCount="930">
  <si>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</si>
  <si>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</si>
  <si>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</si>
  <si>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</si>
  <si>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</si>
  <si>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</si>
  <si>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</si>
  <si>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</si>
  <si>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</si>
  <si>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</si>
  <si>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</si>
  <si>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</si>
  <si>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</si>
  <si>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</si>
  <si>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</si>
  <si>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</si>
  <si>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</si>
  <si>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</si>
  <si>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</si>
  <si>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</si>
  <si>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</si>
  <si>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</si>
  <si>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</si>
  <si>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</si>
  <si>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</si>
  <si>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</si>
  <si>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</si>
  <si>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</si>
  <si>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</si>
  <si>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</si>
  <si>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</si>
  <si>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</si>
  <si>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</si>
  <si>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</si>
  <si>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</si>
  <si>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</si>
  <si>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</si>
  <si>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</si>
  <si>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</si>
  <si>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</si>
  <si>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</si>
  <si>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</si>
  <si>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</si>
  <si>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</si>
  <si>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</si>
  <si>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</si>
  <si>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</si>
  <si>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</si>
  <si>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</si>
  <si>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</si>
  <si>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</si>
  <si>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</si>
  <si>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</si>
  <si>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</si>
  <si>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</si>
  <si>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</si>
  <si>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</si>
  <si>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</si>
  <si>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</si>
  <si>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</si>
  <si>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</si>
  <si>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</si>
  <si>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</si>
  <si>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</si>
  <si>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</si>
  <si>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</si>
  <si>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</si>
  <si>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</si>
  <si>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</si>
  <si>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</si>
  <si>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</si>
  <si>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</si>
  <si>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</si>
  <si>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</si>
  <si>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</si>
  <si>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</si>
  <si>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</si>
  <si>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</si>
  <si>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</si>
  <si>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</si>
  <si>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</si>
  <si>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</si>
  <si>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</si>
  <si>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</si>
  <si>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</si>
  <si>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</si>
  <si>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</si>
  <si>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</si>
  <si>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</si>
  <si>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</si>
  <si>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</si>
  <si>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</si>
  <si>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</si>
  <si>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</si>
  <si>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</si>
  <si>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</si>
  <si>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</si>
  <si>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</si>
  <si>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</si>
  <si>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</si>
  <si>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</si>
  <si>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</si>
  <si>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</si>
  <si>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</si>
  <si>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</si>
  <si>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</si>
  <si>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</si>
  <si>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</si>
  <si>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</si>
  <si>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</si>
  <si>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</si>
  <si>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</si>
  <si>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</si>
  <si>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</si>
  <si>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</si>
  <si>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</si>
  <si>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</si>
  <si>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</si>
  <si>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</si>
  <si>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</si>
  <si>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</si>
  <si>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</si>
  <si>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</si>
  <si>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</si>
  <si>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</si>
  <si>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</si>
  <si>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</si>
  <si>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</si>
  <si>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</si>
  <si>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</si>
  <si>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</si>
  <si>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</si>
  <si>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</si>
  <si>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</si>
  <si>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</si>
  <si>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</si>
  <si>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</si>
  <si>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</si>
  <si>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</si>
  <si>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</si>
  <si>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</si>
  <si>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</si>
  <si>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</si>
  <si>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</si>
  <si>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</si>
  <si>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</si>
  <si>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</si>
  <si>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</si>
  <si>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</si>
  <si>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</si>
  <si>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</si>
  <si>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</si>
  <si>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</si>
  <si>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</si>
  <si>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</si>
  <si>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</si>
  <si>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</si>
  <si>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</si>
  <si>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</si>
  <si>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</si>
  <si>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</si>
  <si>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</si>
  <si>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</si>
  <si>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</si>
  <si>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</si>
  <si>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</si>
  <si>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</si>
  <si>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</si>
  <si>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</si>
  <si>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</si>
  <si>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</si>
  <si>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</si>
  <si>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</si>
  <si>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</si>
  <si>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</si>
  <si>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</si>
  <si>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</si>
  <si>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</si>
  <si>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</si>
  <si>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</si>
  <si>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</si>
  <si>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</si>
  <si>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</si>
  <si>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</si>
  <si>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</si>
  <si>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</si>
  <si>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</si>
  <si>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</si>
  <si>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</si>
  <si>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</si>
  <si>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</si>
  <si>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</si>
  <si>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</si>
  <si>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</si>
  <si>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</si>
  <si>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</si>
  <si>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</si>
  <si>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</si>
  <si>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</si>
  <si>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</si>
  <si>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</si>
  <si>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</si>
  <si>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</si>
  <si>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</si>
  <si>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</si>
  <si>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</si>
  <si>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</si>
  <si>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</si>
  <si>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</si>
  <si>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</si>
  <si>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</si>
  <si>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</si>
  <si>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</si>
  <si>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</si>
  <si>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</si>
  <si>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</si>
  <si>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</si>
  <si>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</si>
  <si>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</si>
  <si>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</si>
  <si>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</si>
  <si>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</si>
  <si>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</si>
  <si>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</si>
  <si>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</si>
  <si>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</si>
  <si>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</si>
  <si>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</si>
  <si>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</si>
  <si>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</si>
  <si>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</si>
  <si>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</si>
  <si>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</si>
  <si>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</si>
  <si>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</si>
  <si>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</si>
  <si>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</si>
  <si>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</si>
  <si>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</si>
  <si>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</si>
  <si>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</si>
  <si>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</si>
  <si>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</si>
  <si>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</si>
  <si>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</si>
  <si>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</si>
  <si>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</si>
  <si>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</si>
  <si>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</si>
  <si>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</si>
  <si>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</si>
  <si>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</si>
  <si>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</si>
  <si>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</si>
  <si>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</si>
  <si>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</si>
  <si>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</si>
  <si>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</si>
  <si>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</si>
  <si>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</si>
  <si>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</si>
  <si>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</si>
  <si>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</si>
  <si>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</si>
  <si>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</si>
  <si>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</si>
  <si>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</si>
  <si>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</si>
  <si>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</si>
  <si>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</si>
  <si>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</si>
  <si>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</si>
  <si>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</si>
  <si>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</si>
  <si>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</si>
  <si>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</si>
  <si>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</si>
  <si>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</si>
  <si>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</si>
  <si>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</si>
  <si>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</si>
  <si>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</si>
  <si>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</si>
  <si>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</si>
  <si>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</si>
  <si>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</si>
  <si>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</si>
  <si>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</si>
  <si>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</si>
  <si>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</si>
  <si>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</si>
  <si>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</si>
  <si>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</si>
  <si>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</si>
  <si>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</si>
  <si>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</si>
  <si>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</si>
  <si>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</si>
  <si>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</si>
  <si>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</si>
  <si>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</si>
  <si>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</si>
  <si>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</si>
  <si>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</si>
  <si>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</si>
  <si>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</si>
  <si>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</si>
  <si>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</si>
  <si>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</si>
  <si>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</si>
  <si>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</si>
  <si>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</si>
  <si>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</si>
  <si>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</si>
  <si>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</si>
  <si>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</si>
  <si>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</si>
  <si>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</si>
  <si>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</si>
  <si>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</si>
  <si>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</si>
  <si>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</si>
  <si>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</si>
  <si>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</si>
  <si>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</si>
  <si>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</si>
  <si>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</si>
  <si>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</si>
  <si>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</si>
  <si>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</si>
  <si>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</si>
  <si>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</si>
  <si>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</si>
  <si>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</si>
  <si>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</si>
  <si>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</si>
  <si>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</si>
  <si>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</si>
  <si>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</si>
  <si>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</si>
  <si>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</si>
  <si>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</si>
  <si>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</si>
  <si>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</si>
  <si>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</si>
  <si>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</si>
  <si>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</si>
  <si>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</si>
  <si>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</si>
  <si>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</si>
  <si>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</si>
  <si>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</si>
  <si>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</si>
  <si>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</si>
  <si>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</si>
  <si>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</si>
  <si>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</si>
  <si>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</si>
  <si>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</si>
  <si>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</si>
  <si>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</si>
  <si>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</si>
  <si>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</si>
  <si>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</si>
  <si>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</si>
  <si>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</si>
  <si>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</si>
  <si>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</si>
  <si>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</si>
  <si>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</si>
  <si>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</si>
  <si>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</si>
  <si>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</si>
  <si>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</si>
  <si>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</si>
  <si>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</si>
  <si>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</si>
  <si>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</si>
  <si>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</si>
  <si>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</si>
  <si>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</si>
  <si>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</si>
  <si>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</si>
  <si>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</si>
  <si>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</si>
  <si>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</si>
  <si>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</si>
  <si>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</si>
  <si>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</si>
  <si>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</si>
  <si>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</si>
  <si>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</si>
  <si>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</si>
  <si>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</si>
  <si>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</si>
  <si>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</si>
  <si>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</si>
  <si>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</si>
  <si>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</si>
  <si>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</si>
  <si>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</si>
  <si>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</si>
  <si>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</si>
  <si>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</si>
  <si>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</si>
  <si>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</si>
  <si>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</si>
  <si>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</si>
  <si>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</si>
  <si>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</si>
  <si>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</si>
  <si>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</si>
  <si>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</si>
  <si>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</si>
  <si>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</si>
  <si>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</si>
  <si>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</si>
  <si>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</si>
  <si>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</si>
  <si>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</si>
  <si>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</si>
  <si>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</si>
  <si>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</si>
  <si>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</si>
  <si>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</si>
  <si>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</si>
  <si>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</si>
  <si>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</si>
  <si>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</si>
  <si>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</si>
  <si>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</si>
  <si>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</si>
  <si>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</si>
  <si>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</si>
  <si>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</si>
  <si>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</si>
  <si>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</si>
  <si>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</si>
  <si>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</si>
  <si>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</si>
  <si>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</si>
  <si>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</si>
  <si>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</si>
  <si>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</si>
  <si>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</si>
  <si>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</si>
  <si>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</si>
  <si>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</si>
  <si>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</si>
  <si>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</si>
  <si>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</si>
  <si>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</si>
  <si>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</si>
  <si>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</si>
  <si>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</si>
  <si>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</si>
  <si>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</si>
  <si>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</si>
  <si>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</si>
  <si>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</si>
  <si>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</si>
  <si>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</si>
  <si>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</si>
  <si>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</si>
  <si>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</si>
  <si>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</si>
  <si>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</si>
  <si>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</si>
  <si>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</si>
  <si>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</si>
  <si>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</si>
  <si>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</si>
  <si>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</si>
  <si>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</si>
  <si>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</si>
  <si>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</si>
  <si>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</si>
  <si>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</si>
  <si>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</si>
  <si>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</si>
  <si>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</si>
  <si>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</si>
  <si>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</si>
  <si>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</si>
  <si>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</si>
  <si>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</si>
  <si>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</si>
  <si>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</si>
  <si>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</si>
  <si>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</si>
  <si>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</si>
  <si>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</si>
  <si>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</si>
  <si>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</si>
  <si>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</si>
  <si>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</si>
  <si>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</si>
  <si>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</si>
  <si>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</si>
  <si>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</si>
  <si>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</si>
  <si>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</si>
  <si>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</si>
  <si>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</si>
  <si>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</si>
  <si>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</si>
  <si>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</si>
  <si>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</si>
  <si>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</si>
  <si>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</si>
  <si>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</si>
  <si>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</si>
  <si>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</si>
  <si>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</si>
  <si>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</si>
  <si>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</si>
  <si>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</si>
  <si>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</si>
  <si>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</si>
  <si>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</si>
  <si>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</si>
  <si>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</si>
  <si>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</si>
  <si>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</si>
  <si>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</si>
  <si>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</si>
  <si>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</si>
  <si>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</si>
  <si>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</si>
  <si>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</si>
  <si>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</si>
  <si>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</si>
  <si>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</si>
  <si>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</si>
  <si>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</si>
  <si>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</si>
  <si>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</si>
  <si>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</si>
  <si>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</si>
  <si>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</si>
  <si>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</si>
  <si>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</si>
  <si>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</si>
  <si>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</si>
  <si>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</si>
  <si>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</si>
  <si>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</si>
  <si>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</si>
  <si>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</si>
  <si>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</si>
  <si>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</si>
  <si>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</si>
  <si>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</si>
  <si>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</si>
  <si>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</si>
  <si>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</si>
  <si>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</si>
  <si>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</si>
  <si>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</si>
  <si>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</si>
  <si>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</si>
  <si>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</si>
  <si>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</si>
  <si>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</si>
  <si>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</si>
  <si>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</si>
  <si>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</si>
  <si>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</si>
  <si>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</si>
  <si>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</si>
  <si>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</si>
  <si>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</si>
  <si>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</si>
  <si>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</si>
  <si>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</si>
  <si>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</si>
  <si>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</si>
  <si>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</si>
  <si>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</si>
  <si>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</si>
  <si>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</si>
  <si>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</si>
  <si>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</si>
  <si>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</si>
  <si>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</si>
  <si>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</si>
  <si>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</si>
  <si>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</si>
  <si>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</si>
  <si>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</si>
  <si>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</si>
  <si>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</si>
  <si>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</si>
  <si>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</si>
  <si>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</si>
  <si>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</si>
  <si>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</si>
  <si>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</si>
  <si>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</si>
  <si>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</si>
  <si>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</si>
  <si>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</si>
  <si>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</si>
  <si>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</si>
  <si>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</si>
  <si>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</si>
  <si>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</si>
  <si>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</si>
  <si>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</si>
  <si>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</si>
  <si>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</si>
  <si>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</si>
  <si>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</si>
  <si>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</si>
  <si>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</si>
  <si>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</si>
  <si>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</si>
  <si>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</si>
  <si>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</si>
  <si>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</si>
  <si>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</si>
  <si>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</si>
  <si>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</si>
  <si>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</si>
  <si>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</si>
  <si>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</si>
  <si>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</si>
  <si>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</si>
  <si>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</si>
  <si>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</si>
  <si>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</si>
  <si>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</si>
  <si>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</si>
  <si>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</si>
  <si>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</si>
  <si>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</si>
  <si>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</si>
  <si>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</si>
  <si>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</si>
  <si>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</si>
  <si>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</si>
  <si>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</si>
  <si>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</si>
  <si>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</si>
  <si>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</si>
  <si>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</si>
  <si>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</si>
  <si>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</si>
  <si>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</si>
  <si>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</si>
  <si>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</si>
  <si>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</si>
  <si>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</si>
  <si>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</si>
  <si>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</si>
  <si>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</si>
  <si>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</si>
  <si>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</si>
  <si>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</si>
  <si>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</si>
  <si>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</si>
  <si>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</si>
  <si>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</si>
  <si>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</si>
  <si>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</si>
  <si>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</si>
  <si>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</si>
  <si>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</si>
  <si>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</si>
  <si>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</si>
  <si>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</si>
  <si>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</si>
  <si>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</si>
  <si>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</si>
  <si>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</si>
  <si>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</si>
  <si>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</si>
  <si>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</si>
  <si>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</si>
  <si>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</si>
  <si>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</si>
  <si>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</si>
  <si>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</si>
  <si>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</si>
  <si>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</si>
  <si>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</si>
  <si>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</si>
  <si>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</si>
  <si>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</si>
  <si>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</si>
  <si>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</si>
  <si>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</si>
  <si>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</si>
  <si>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</si>
  <si>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</si>
  <si>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</si>
  <si>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</si>
  <si>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</si>
  <si>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</si>
  <si>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</si>
  <si>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</si>
  <si>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</si>
  <si>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</si>
  <si>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</si>
  <si>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</si>
  <si>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</si>
  <si>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</si>
  <si>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</si>
  <si>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</si>
  <si>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</si>
  <si>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</si>
  <si>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</si>
  <si>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</si>
  <si>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</si>
  <si>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</si>
  <si>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</si>
  <si>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</si>
  <si>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</si>
  <si>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</si>
  <si>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</si>
  <si>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</si>
  <si>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</si>
  <si>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</si>
  <si>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</si>
  <si>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</si>
  <si>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</si>
  <si>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</si>
  <si>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</si>
  <si>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</si>
  <si>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</si>
  <si>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</si>
  <si>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</si>
  <si>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</si>
  <si>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</si>
  <si>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</si>
  <si>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</si>
  <si>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</si>
  <si>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</si>
  <si>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</si>
  <si>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</si>
  <si>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</si>
  <si>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</si>
  <si>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</si>
  <si>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</si>
  <si>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</si>
  <si>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</si>
  <si>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</si>
  <si>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</si>
  <si>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</si>
  <si>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</si>
  <si>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</si>
  <si>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</si>
  <si>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</si>
  <si>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</si>
  <si>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</si>
  <si>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</si>
  <si>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</si>
  <si>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</si>
  <si>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</si>
  <si>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</si>
  <si>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</si>
  <si>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</si>
  <si>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</si>
  <si>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</si>
  <si>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</si>
  <si>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</si>
  <si>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</si>
  <si>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</si>
  <si>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</si>
  <si>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</si>
  <si>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</si>
  <si>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</si>
  <si>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</si>
  <si>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</si>
  <si>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</si>
  <si>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</si>
  <si>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</si>
  <si>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</si>
  <si>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</si>
  <si>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</si>
  <si>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</si>
  <si>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</si>
  <si>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</si>
  <si>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</si>
  <si>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</si>
  <si>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</si>
  <si>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</si>
  <si>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</si>
  <si>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</si>
  <si>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</si>
  <si>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</si>
  <si>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</si>
  <si>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</si>
  <si>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</si>
  <si>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</si>
  <si>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</si>
  <si>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</si>
  <si>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</si>
  <si>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</si>
  <si>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</si>
  <si>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</si>
  <si>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</si>
  <si>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</si>
  <si>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</si>
  <si>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</si>
  <si>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</si>
  <si>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</si>
  <si>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</si>
  <si>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</si>
  <si>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</si>
  <si>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</si>
  <si>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</si>
  <si>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</si>
  <si>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</si>
  <si>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</si>
  <si>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</si>
  <si>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</si>
  <si>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</si>
  <si>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</si>
  <si>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</si>
  <si>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</si>
  <si>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</si>
  <si>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</si>
  <si>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</si>
  <si>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</si>
  <si>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</si>
  <si>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</si>
  <si>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</si>
  <si>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</si>
  <si>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</si>
  <si>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</si>
  <si>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</si>
  <si>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</si>
  <si>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</si>
  <si>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</si>
  <si>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</si>
  <si>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</si>
  <si>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</si>
  <si>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</si>
  <si>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</si>
  <si>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</si>
  <si>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</si>
  <si>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</si>
  <si>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</si>
  <si>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</si>
  <si>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</si>
  <si>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</si>
  <si>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</si>
  <si>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</si>
  <si>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</si>
  <si>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</si>
  <si>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</si>
  <si>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</si>
  <si>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</si>
  <si>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</si>
  <si>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</si>
  <si>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</si>
  <si>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</si>
  <si>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</si>
  <si>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</si>
  <si>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</si>
  <si>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</si>
  <si>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</si>
  <si>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</si>
  <si>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</si>
  <si>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</si>
  <si>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</si>
  <si>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</si>
  <si>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</si>
  <si>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</si>
  <si>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</si>
  <si>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</si>
  <si>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</si>
  <si>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</si>
  <si>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</si>
  <si>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</si>
  <si>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</si>
  <si>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</si>
  <si>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</si>
  <si>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</si>
  <si>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</si>
  <si>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</si>
  <si>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</si>
  <si>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</si>
  <si>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</si>
  <si>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</si>
  <si>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</si>
  <si>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</si>
  <si>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</si>
  <si>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</si>
  <si>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</si>
  <si>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</si>
  <si>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</si>
  <si>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</si>
  <si>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</si>
  <si>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</si>
  <si>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</si>
  <si>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</si>
  <si>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</si>
  <si>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</si>
  <si>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</si>
  <si>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</si>
  <si>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</si>
  <si>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</si>
  <si>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</si>
  <si>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</si>
  <si>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</si>
  <si>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45035</t>
  </si>
  <si>
    <t>OUDENAARDE</t>
  </si>
  <si>
    <t>Paarden&amp;pony's 200 - 600 kg</t>
  </si>
  <si>
    <t>Paarden&amp;pony's &lt; 200 kg</t>
  </si>
  <si>
    <t>Fluvius</t>
  </si>
  <si>
    <t>referentietaak LNE (2017); Jaarverslag De Lijn</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</si>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</sst>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261936.76257370389</c:v>
                </c:pt>
                <c:pt idx="1">
                  <c:v>159027.13513408328</c:v>
                </c:pt>
                <c:pt idx="2">
                  <c:v>2437.6819999999998</c:v>
                </c:pt>
                <c:pt idx="3">
                  <c:v>7747.6387581942727</c:v>
                </c:pt>
                <c:pt idx="4">
                  <c:v>417331.2441033611</c:v>
                </c:pt>
                <c:pt idx="5">
                  <c:v>176278.68779590807</c:v>
                </c:pt>
                <c:pt idx="6">
                  <c:v>2574.3096442471551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261936.76257370389</c:v>
                </c:pt>
                <c:pt idx="1">
                  <c:v>159027.13513408328</c:v>
                </c:pt>
                <c:pt idx="2">
                  <c:v>2437.6819999999998</c:v>
                </c:pt>
                <c:pt idx="3">
                  <c:v>7747.6387581942727</c:v>
                </c:pt>
                <c:pt idx="4">
                  <c:v>417331.2441033611</c:v>
                </c:pt>
                <c:pt idx="5">
                  <c:v>176278.68779590807</c:v>
                </c:pt>
                <c:pt idx="6">
                  <c:v>2574.3096442471551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52909.012784456063</c:v>
                </c:pt>
                <c:pt idx="2">
                  <c:v>32021.053941841787</c:v>
                </c:pt>
                <c:pt idx="3">
                  <c:v>508.20703491108844</c:v>
                </c:pt>
                <c:pt idx="4">
                  <c:v>1946.2490089623759</c:v>
                </c:pt>
                <c:pt idx="5">
                  <c:v>86932.813326212228</c:v>
                </c:pt>
                <c:pt idx="6">
                  <c:v>44187.025445480482</c:v>
                </c:pt>
                <c:pt idx="7">
                  <c:v>650.17845356169266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52909.012784456063</c:v>
                </c:pt>
                <c:pt idx="2">
                  <c:v>32021.053941841787</c:v>
                </c:pt>
                <c:pt idx="3">
                  <c:v>508.20703491108844</c:v>
                </c:pt>
                <c:pt idx="4">
                  <c:v>1946.2490089623759</c:v>
                </c:pt>
                <c:pt idx="5">
                  <c:v>86932.813326212228</c:v>
                </c:pt>
                <c:pt idx="6">
                  <c:v>44187.025445480482</c:v>
                </c:pt>
                <c:pt idx="7">
                  <c:v>650.17845356169266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45035</v>
      </c>
      <c r="B6" s="391"/>
      <c r="C6" s="392"/>
    </row>
    <row r="7" spans="1:7" s="389" customFormat="1" ht="15.75" customHeight="1">
      <c r="A7" s="393" t="str">
        <f>txtMunicipality</f>
        <v>OUDENAARDE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53324.102000000006</v>
      </c>
      <c r="D10" s="991">
        <f ca="1">tertiair!C16</f>
        <v>0</v>
      </c>
      <c r="E10" s="991">
        <f ca="1">tertiair!D16</f>
        <v>95284.527133084877</v>
      </c>
      <c r="F10" s="991">
        <f>tertiair!E16</f>
        <v>520.59069131425213</v>
      </c>
      <c r="G10" s="991">
        <f ca="1">tertiair!F16</f>
        <v>7665.256540186796</v>
      </c>
      <c r="H10" s="991">
        <f>tertiair!G16</f>
        <v>0</v>
      </c>
      <c r="I10" s="991">
        <f>tertiair!H16</f>
        <v>0</v>
      </c>
      <c r="J10" s="991">
        <f>tertiair!I16</f>
        <v>0</v>
      </c>
      <c r="K10" s="991">
        <f>tertiair!J16</f>
        <v>0</v>
      </c>
      <c r="L10" s="991">
        <f>tertiair!K16</f>
        <v>0</v>
      </c>
      <c r="M10" s="991">
        <f ca="1">tertiair!L16</f>
        <v>0</v>
      </c>
      <c r="N10" s="991">
        <f>tertiair!M16</f>
        <v>0</v>
      </c>
      <c r="O10" s="991">
        <f ca="1">tertiair!N16</f>
        <v>4646.5841028306795</v>
      </c>
      <c r="P10" s="991">
        <f>tertiair!O16</f>
        <v>4.6900000000000004</v>
      </c>
      <c r="Q10" s="992">
        <f>tertiair!P16</f>
        <v>19.066666666666666</v>
      </c>
      <c r="R10" s="675">
        <f ca="1">SUM(C10:Q10)</f>
        <v>161464.81713408328</v>
      </c>
      <c r="S10" s="67"/>
    </row>
    <row r="11" spans="1:19" s="448" customFormat="1">
      <c r="A11" s="784" t="s">
        <v>224</v>
      </c>
      <c r="B11" s="789"/>
      <c r="C11" s="991">
        <f>huishoudens!B8</f>
        <v>55289.469472986668</v>
      </c>
      <c r="D11" s="991">
        <f>huishoudens!C8</f>
        <v>0</v>
      </c>
      <c r="E11" s="991">
        <f>huishoudens!D8</f>
        <v>96962.046217757525</v>
      </c>
      <c r="F11" s="991">
        <f>huishoudens!E8</f>
        <v>48900.507492045355</v>
      </c>
      <c r="G11" s="991">
        <f>huishoudens!F8</f>
        <v>39100.266751349758</v>
      </c>
      <c r="H11" s="991">
        <f>huishoudens!G8</f>
        <v>0</v>
      </c>
      <c r="I11" s="991">
        <f>huishoudens!H8</f>
        <v>0</v>
      </c>
      <c r="J11" s="991">
        <f>huishoudens!I8</f>
        <v>0</v>
      </c>
      <c r="K11" s="991">
        <f>huishoudens!J8</f>
        <v>722.50009637409448</v>
      </c>
      <c r="L11" s="991">
        <f>huishoudens!K8</f>
        <v>0</v>
      </c>
      <c r="M11" s="991">
        <f>huishoudens!L8</f>
        <v>0</v>
      </c>
      <c r="N11" s="991">
        <f>huishoudens!M8</f>
        <v>0</v>
      </c>
      <c r="O11" s="991">
        <f>huishoudens!N8</f>
        <v>19436.459209857159</v>
      </c>
      <c r="P11" s="991">
        <f>huishoudens!O8</f>
        <v>572.18000000000006</v>
      </c>
      <c r="Q11" s="992">
        <f>huishoudens!P8</f>
        <v>953.33333333333326</v>
      </c>
      <c r="R11" s="675">
        <f>SUM(C11:Q11)</f>
        <v>261936.76257370389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162372.329</v>
      </c>
      <c r="D13" s="991">
        <f>industrie!C18</f>
        <v>5625</v>
      </c>
      <c r="E13" s="991">
        <f>industrie!D18</f>
        <v>174801.67863067432</v>
      </c>
      <c r="F13" s="991">
        <f>industrie!E18</f>
        <v>9247.5485488733284</v>
      </c>
      <c r="G13" s="991">
        <f>industrie!F18</f>
        <v>52782.827390924416</v>
      </c>
      <c r="H13" s="991">
        <f>industrie!G18</f>
        <v>0</v>
      </c>
      <c r="I13" s="991">
        <f>industrie!H18</f>
        <v>0</v>
      </c>
      <c r="J13" s="991">
        <f>industrie!I18</f>
        <v>0</v>
      </c>
      <c r="K13" s="991">
        <f>industrie!J18</f>
        <v>686.42087478953158</v>
      </c>
      <c r="L13" s="991">
        <f>industrie!K18</f>
        <v>0</v>
      </c>
      <c r="M13" s="991">
        <f>industrie!L18</f>
        <v>0</v>
      </c>
      <c r="N13" s="991">
        <f>industrie!M18</f>
        <v>0</v>
      </c>
      <c r="O13" s="991">
        <f>industrie!N18</f>
        <v>11815.43965809954</v>
      </c>
      <c r="P13" s="991">
        <f>industrie!O18</f>
        <v>0</v>
      </c>
      <c r="Q13" s="992">
        <f>industrie!P18</f>
        <v>0</v>
      </c>
      <c r="R13" s="675">
        <f>SUM(C13:Q13)</f>
        <v>417331.2441033611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270985.90047298669</v>
      </c>
      <c r="D16" s="707">
        <f t="shared" ref="D16:R16" ca="1" si="0">SUM(D9:D15)</f>
        <v>5625</v>
      </c>
      <c r="E16" s="707">
        <f t="shared" ca="1" si="0"/>
        <v>367048.25198151672</v>
      </c>
      <c r="F16" s="707">
        <f t="shared" si="0"/>
        <v>58668.646732232941</v>
      </c>
      <c r="G16" s="707">
        <f t="shared" ca="1" si="0"/>
        <v>99548.350682460965</v>
      </c>
      <c r="H16" s="707">
        <f t="shared" si="0"/>
        <v>0</v>
      </c>
      <c r="I16" s="707">
        <f t="shared" si="0"/>
        <v>0</v>
      </c>
      <c r="J16" s="707">
        <f t="shared" si="0"/>
        <v>0</v>
      </c>
      <c r="K16" s="707">
        <f t="shared" si="0"/>
        <v>1408.9209711636261</v>
      </c>
      <c r="L16" s="707">
        <f t="shared" si="0"/>
        <v>0</v>
      </c>
      <c r="M16" s="707">
        <f t="shared" ca="1" si="0"/>
        <v>0</v>
      </c>
      <c r="N16" s="707">
        <f t="shared" si="0"/>
        <v>0</v>
      </c>
      <c r="O16" s="707">
        <f t="shared" ca="1" si="0"/>
        <v>35898.48297078738</v>
      </c>
      <c r="P16" s="707">
        <f t="shared" si="0"/>
        <v>576.87000000000012</v>
      </c>
      <c r="Q16" s="707">
        <f t="shared" si="0"/>
        <v>972.4</v>
      </c>
      <c r="R16" s="707">
        <f t="shared" ca="1" si="0"/>
        <v>840732.82381114829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2435.125294238549</v>
      </c>
      <c r="I19" s="991">
        <f>transport!H54</f>
        <v>0</v>
      </c>
      <c r="J19" s="991">
        <f>transport!I54</f>
        <v>0</v>
      </c>
      <c r="K19" s="991">
        <f>transport!J54</f>
        <v>0</v>
      </c>
      <c r="L19" s="991">
        <f>transport!K54</f>
        <v>0</v>
      </c>
      <c r="M19" s="991">
        <f>transport!L54</f>
        <v>0</v>
      </c>
      <c r="N19" s="991">
        <f>transport!M54</f>
        <v>139.18435000860586</v>
      </c>
      <c r="O19" s="991">
        <f>transport!N54</f>
        <v>0</v>
      </c>
      <c r="P19" s="991">
        <f>transport!O54</f>
        <v>0</v>
      </c>
      <c r="Q19" s="992">
        <f>transport!P54</f>
        <v>0</v>
      </c>
      <c r="R19" s="675">
        <f>SUM(C19:Q19)</f>
        <v>2574.3096442471551</v>
      </c>
      <c r="S19" s="67"/>
    </row>
    <row r="20" spans="1:19" s="448" customFormat="1">
      <c r="A20" s="784" t="s">
        <v>306</v>
      </c>
      <c r="B20" s="789"/>
      <c r="C20" s="991">
        <f>transport!B14</f>
        <v>21.764894626232362</v>
      </c>
      <c r="D20" s="991">
        <f>transport!C14</f>
        <v>0</v>
      </c>
      <c r="E20" s="991">
        <f>transport!D14</f>
        <v>42.693771741970963</v>
      </c>
      <c r="F20" s="991">
        <f>transport!E14</f>
        <v>407.6220811758289</v>
      </c>
      <c r="G20" s="991">
        <f>transport!F14</f>
        <v>0</v>
      </c>
      <c r="H20" s="991">
        <f>transport!G14</f>
        <v>140937.9752312671</v>
      </c>
      <c r="I20" s="991">
        <f>transport!H14</f>
        <v>25907.205491135759</v>
      </c>
      <c r="J20" s="991">
        <f>transport!I14</f>
        <v>0</v>
      </c>
      <c r="K20" s="991">
        <f>transport!J14</f>
        <v>0</v>
      </c>
      <c r="L20" s="991">
        <f>transport!K14</f>
        <v>0</v>
      </c>
      <c r="M20" s="991">
        <f>transport!L14</f>
        <v>0</v>
      </c>
      <c r="N20" s="991">
        <f>transport!M14</f>
        <v>8961.4263259611671</v>
      </c>
      <c r="O20" s="991">
        <f>transport!N14</f>
        <v>0</v>
      </c>
      <c r="P20" s="991">
        <f>transport!O14</f>
        <v>0</v>
      </c>
      <c r="Q20" s="992">
        <f>transport!P14</f>
        <v>0</v>
      </c>
      <c r="R20" s="675">
        <f>SUM(C20:Q20)</f>
        <v>176278.68779590807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21.764894626232362</v>
      </c>
      <c r="D22" s="787">
        <f t="shared" ref="D22:R22" si="1">SUM(D18:D21)</f>
        <v>0</v>
      </c>
      <c r="E22" s="787">
        <f t="shared" si="1"/>
        <v>42.693771741970963</v>
      </c>
      <c r="F22" s="787">
        <f t="shared" si="1"/>
        <v>407.6220811758289</v>
      </c>
      <c r="G22" s="787">
        <f t="shared" si="1"/>
        <v>0</v>
      </c>
      <c r="H22" s="787">
        <f t="shared" si="1"/>
        <v>143373.10052550567</v>
      </c>
      <c r="I22" s="787">
        <f t="shared" si="1"/>
        <v>25907.205491135759</v>
      </c>
      <c r="J22" s="787">
        <f t="shared" si="1"/>
        <v>0</v>
      </c>
      <c r="K22" s="787">
        <f t="shared" si="1"/>
        <v>0</v>
      </c>
      <c r="L22" s="787">
        <f t="shared" si="1"/>
        <v>0</v>
      </c>
      <c r="M22" s="787">
        <f t="shared" si="1"/>
        <v>0</v>
      </c>
      <c r="N22" s="787">
        <f t="shared" si="1"/>
        <v>9100.6106759697723</v>
      </c>
      <c r="O22" s="787">
        <f t="shared" si="1"/>
        <v>0</v>
      </c>
      <c r="P22" s="787">
        <f t="shared" si="1"/>
        <v>0</v>
      </c>
      <c r="Q22" s="787">
        <f t="shared" si="1"/>
        <v>0</v>
      </c>
      <c r="R22" s="787">
        <f t="shared" si="1"/>
        <v>178852.99744015522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1941.2584999999999</v>
      </c>
      <c r="D24" s="991">
        <f>+landbouw!C8</f>
        <v>79.071428571428584</v>
      </c>
      <c r="E24" s="991">
        <f>+landbouw!D8</f>
        <v>486.36886389921023</v>
      </c>
      <c r="F24" s="991">
        <f>+landbouw!E8</f>
        <v>17.980749300799108</v>
      </c>
      <c r="G24" s="991">
        <f>+landbouw!F8</f>
        <v>4925.3426238647444</v>
      </c>
      <c r="H24" s="991">
        <f>+landbouw!G8</f>
        <v>0</v>
      </c>
      <c r="I24" s="991">
        <f>+landbouw!H8</f>
        <v>0</v>
      </c>
      <c r="J24" s="991">
        <f>+landbouw!I8</f>
        <v>0</v>
      </c>
      <c r="K24" s="991">
        <f>+landbouw!J8</f>
        <v>297.61659255808996</v>
      </c>
      <c r="L24" s="991">
        <f>+landbouw!K8</f>
        <v>0</v>
      </c>
      <c r="M24" s="991">
        <f>+landbouw!L8</f>
        <v>0</v>
      </c>
      <c r="N24" s="991">
        <f>+landbouw!M8</f>
        <v>0</v>
      </c>
      <c r="O24" s="991">
        <f>+landbouw!N8</f>
        <v>0</v>
      </c>
      <c r="P24" s="991">
        <f>+landbouw!O8</f>
        <v>0</v>
      </c>
      <c r="Q24" s="992">
        <f>+landbouw!P8</f>
        <v>0</v>
      </c>
      <c r="R24" s="675">
        <f>SUM(C24:Q24)</f>
        <v>7747.6387581942727</v>
      </c>
      <c r="S24" s="67"/>
    </row>
    <row r="25" spans="1:19" s="448" customFormat="1" ht="15" thickBot="1">
      <c r="A25" s="806" t="s">
        <v>849</v>
      </c>
      <c r="B25" s="994"/>
      <c r="C25" s="995">
        <f>IF(Onbekend_ele_kWh="---",0,Onbekend_ele_kWh)/1000+IF(REST_rest_ele_kWh="---",0,REST_rest_ele_kWh)/1000</f>
        <v>5508.0950000000003</v>
      </c>
      <c r="D25" s="995"/>
      <c r="E25" s="995">
        <f>IF(onbekend_gas_kWh="---",0,onbekend_gas_kWh)/1000+IF(REST_rest_gas_kWh="---",0,REST_rest_gas_kWh)/1000</f>
        <v>14145.915482788001</v>
      </c>
      <c r="F25" s="995"/>
      <c r="G25" s="995"/>
      <c r="H25" s="995"/>
      <c r="I25" s="995"/>
      <c r="J25" s="995"/>
      <c r="K25" s="995"/>
      <c r="L25" s="995"/>
      <c r="M25" s="995"/>
      <c r="N25" s="995"/>
      <c r="O25" s="995"/>
      <c r="P25" s="995"/>
      <c r="Q25" s="996"/>
      <c r="R25" s="675">
        <f>SUM(C25:Q25)</f>
        <v>19654.010482788002</v>
      </c>
      <c r="S25" s="67"/>
    </row>
    <row r="26" spans="1:19" s="448" customFormat="1" ht="15.75" thickBot="1">
      <c r="A26" s="680" t="s">
        <v>850</v>
      </c>
      <c r="B26" s="792"/>
      <c r="C26" s="787">
        <f>SUM(C24:C25)</f>
        <v>7449.3535000000002</v>
      </c>
      <c r="D26" s="787">
        <f t="shared" ref="D26:R26" si="2">SUM(D24:D25)</f>
        <v>79.071428571428584</v>
      </c>
      <c r="E26" s="787">
        <f t="shared" si="2"/>
        <v>14632.284346687211</v>
      </c>
      <c r="F26" s="787">
        <f t="shared" si="2"/>
        <v>17.980749300799108</v>
      </c>
      <c r="G26" s="787">
        <f t="shared" si="2"/>
        <v>4925.3426238647444</v>
      </c>
      <c r="H26" s="787">
        <f t="shared" si="2"/>
        <v>0</v>
      </c>
      <c r="I26" s="787">
        <f t="shared" si="2"/>
        <v>0</v>
      </c>
      <c r="J26" s="787">
        <f t="shared" si="2"/>
        <v>0</v>
      </c>
      <c r="K26" s="787">
        <f t="shared" si="2"/>
        <v>297.61659255808996</v>
      </c>
      <c r="L26" s="787">
        <f t="shared" si="2"/>
        <v>0</v>
      </c>
      <c r="M26" s="787">
        <f t="shared" si="2"/>
        <v>0</v>
      </c>
      <c r="N26" s="787">
        <f t="shared" si="2"/>
        <v>0</v>
      </c>
      <c r="O26" s="787">
        <f t="shared" si="2"/>
        <v>0</v>
      </c>
      <c r="P26" s="787">
        <f t="shared" si="2"/>
        <v>0</v>
      </c>
      <c r="Q26" s="787">
        <f t="shared" si="2"/>
        <v>0</v>
      </c>
      <c r="R26" s="787">
        <f t="shared" si="2"/>
        <v>27401.649240982275</v>
      </c>
      <c r="S26" s="67"/>
    </row>
    <row r="27" spans="1:19" s="448" customFormat="1" ht="17.25" thickTop="1" thickBot="1">
      <c r="A27" s="681" t="s">
        <v>115</v>
      </c>
      <c r="B27" s="780"/>
      <c r="C27" s="682">
        <f ca="1">C22+C16+C26</f>
        <v>278457.01886761293</v>
      </c>
      <c r="D27" s="682">
        <f t="shared" ref="D27:R27" ca="1" si="3">D22+D16+D26</f>
        <v>5704.0714285714284</v>
      </c>
      <c r="E27" s="682">
        <f t="shared" ca="1" si="3"/>
        <v>381723.23009994591</v>
      </c>
      <c r="F27" s="682">
        <f t="shared" si="3"/>
        <v>59094.24956270957</v>
      </c>
      <c r="G27" s="682">
        <f t="shared" ca="1" si="3"/>
        <v>104473.6933063257</v>
      </c>
      <c r="H27" s="682">
        <f t="shared" si="3"/>
        <v>143373.10052550567</v>
      </c>
      <c r="I27" s="682">
        <f t="shared" si="3"/>
        <v>25907.205491135759</v>
      </c>
      <c r="J27" s="682">
        <f t="shared" si="3"/>
        <v>0</v>
      </c>
      <c r="K27" s="682">
        <f t="shared" si="3"/>
        <v>1706.537563721716</v>
      </c>
      <c r="L27" s="682">
        <f t="shared" si="3"/>
        <v>0</v>
      </c>
      <c r="M27" s="682">
        <f t="shared" ca="1" si="3"/>
        <v>0</v>
      </c>
      <c r="N27" s="682">
        <f t="shared" si="3"/>
        <v>9100.6106759697723</v>
      </c>
      <c r="O27" s="682">
        <f t="shared" ca="1" si="3"/>
        <v>35898.48297078738</v>
      </c>
      <c r="P27" s="682">
        <f t="shared" si="3"/>
        <v>576.87000000000012</v>
      </c>
      <c r="Q27" s="682">
        <f t="shared" si="3"/>
        <v>972.4</v>
      </c>
      <c r="R27" s="682">
        <f t="shared" ca="1" si="3"/>
        <v>1046987.4704922858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11116.988912711522</v>
      </c>
      <c r="D40" s="991">
        <f ca="1">tertiair!C20</f>
        <v>0</v>
      </c>
      <c r="E40" s="991">
        <f ca="1">tertiair!D20</f>
        <v>19247.474480883146</v>
      </c>
      <c r="F40" s="991">
        <f>tertiair!E20</f>
        <v>118.17408692833524</v>
      </c>
      <c r="G40" s="991">
        <f ca="1">tertiair!F20</f>
        <v>2046.6234962298747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32529.260976752877</v>
      </c>
    </row>
    <row r="41" spans="1:18">
      <c r="A41" s="797" t="s">
        <v>224</v>
      </c>
      <c r="B41" s="804"/>
      <c r="C41" s="991">
        <f ca="1">huishoudens!B12</f>
        <v>11526.727991047928</v>
      </c>
      <c r="D41" s="991">
        <f ca="1">huishoudens!C12</f>
        <v>0</v>
      </c>
      <c r="E41" s="991">
        <f>huishoudens!D12</f>
        <v>19586.333335987023</v>
      </c>
      <c r="F41" s="991">
        <f>huishoudens!E12</f>
        <v>11100.415200694297</v>
      </c>
      <c r="G41" s="991">
        <f>huishoudens!F12</f>
        <v>10439.771222610387</v>
      </c>
      <c r="H41" s="991">
        <f>huishoudens!G12</f>
        <v>0</v>
      </c>
      <c r="I41" s="991">
        <f>huishoudens!H12</f>
        <v>0</v>
      </c>
      <c r="J41" s="991">
        <f>huishoudens!I12</f>
        <v>0</v>
      </c>
      <c r="K41" s="991">
        <f>huishoudens!J12</f>
        <v>255.76503411642943</v>
      </c>
      <c r="L41" s="991">
        <f>huishoudens!K12</f>
        <v>0</v>
      </c>
      <c r="M41" s="991">
        <f>huishoudens!L12</f>
        <v>0</v>
      </c>
      <c r="N41" s="991">
        <f>huishoudens!M12</f>
        <v>0</v>
      </c>
      <c r="O41" s="991">
        <f>huishoudens!N12</f>
        <v>0</v>
      </c>
      <c r="P41" s="991">
        <f>huishoudens!O12</f>
        <v>0</v>
      </c>
      <c r="Q41" s="749">
        <f>huishoudens!P12</f>
        <v>0</v>
      </c>
      <c r="R41" s="825">
        <f t="shared" ca="1" si="4"/>
        <v>52909.012784456063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33851.322638760001</v>
      </c>
      <c r="D43" s="991">
        <f ca="1">industrie!C22</f>
        <v>1336.3501804094599</v>
      </c>
      <c r="E43" s="991">
        <f>industrie!D22</f>
        <v>35309.939083396217</v>
      </c>
      <c r="F43" s="991">
        <f>industrie!E22</f>
        <v>2099.1935205942455</v>
      </c>
      <c r="G43" s="991">
        <f>industrie!F22</f>
        <v>14093.014913376819</v>
      </c>
      <c r="H43" s="991">
        <f>industrie!G22</f>
        <v>0</v>
      </c>
      <c r="I43" s="991">
        <f>industrie!H22</f>
        <v>0</v>
      </c>
      <c r="J43" s="991">
        <f>industrie!I22</f>
        <v>0</v>
      </c>
      <c r="K43" s="991">
        <f>industrie!J22</f>
        <v>242.99298967549416</v>
      </c>
      <c r="L43" s="991">
        <f>industrie!K22</f>
        <v>0</v>
      </c>
      <c r="M43" s="991">
        <f>industrie!L22</f>
        <v>0</v>
      </c>
      <c r="N43" s="991">
        <f>industrie!M22</f>
        <v>0</v>
      </c>
      <c r="O43" s="991">
        <f>industrie!N22</f>
        <v>0</v>
      </c>
      <c r="P43" s="991">
        <f>industrie!O22</f>
        <v>0</v>
      </c>
      <c r="Q43" s="749">
        <f>industrie!P22</f>
        <v>0</v>
      </c>
      <c r="R43" s="824">
        <f t="shared" ca="1" si="4"/>
        <v>86932.813326212228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56495.039542519451</v>
      </c>
      <c r="D46" s="707">
        <f t="shared" ref="D46:Q46" ca="1" si="5">SUM(D39:D45)</f>
        <v>1336.3501804094599</v>
      </c>
      <c r="E46" s="707">
        <f t="shared" ca="1" si="5"/>
        <v>74143.746900266386</v>
      </c>
      <c r="F46" s="707">
        <f t="shared" si="5"/>
        <v>13317.782808216878</v>
      </c>
      <c r="G46" s="707">
        <f t="shared" ca="1" si="5"/>
        <v>26579.409632217081</v>
      </c>
      <c r="H46" s="707">
        <f t="shared" si="5"/>
        <v>0</v>
      </c>
      <c r="I46" s="707">
        <f t="shared" si="5"/>
        <v>0</v>
      </c>
      <c r="J46" s="707">
        <f t="shared" si="5"/>
        <v>0</v>
      </c>
      <c r="K46" s="707">
        <f t="shared" si="5"/>
        <v>498.75802379192362</v>
      </c>
      <c r="L46" s="707">
        <f t="shared" si="5"/>
        <v>0</v>
      </c>
      <c r="M46" s="707">
        <f t="shared" ca="1" si="5"/>
        <v>0</v>
      </c>
      <c r="N46" s="707">
        <f t="shared" si="5"/>
        <v>0</v>
      </c>
      <c r="O46" s="707">
        <f t="shared" ca="1" si="5"/>
        <v>0</v>
      </c>
      <c r="P46" s="707">
        <f t="shared" si="5"/>
        <v>0</v>
      </c>
      <c r="Q46" s="707">
        <f t="shared" si="5"/>
        <v>0</v>
      </c>
      <c r="R46" s="707">
        <f ca="1">SUM(R39:R45)</f>
        <v>172371.08708742115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650.17845356169266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650.17845356169266</v>
      </c>
    </row>
    <row r="50" spans="1:18">
      <c r="A50" s="800" t="s">
        <v>306</v>
      </c>
      <c r="B50" s="810"/>
      <c r="C50" s="678">
        <f ca="1">transport!B18</f>
        <v>4.5375371205718515</v>
      </c>
      <c r="D50" s="678">
        <f>transport!C18</f>
        <v>0</v>
      </c>
      <c r="E50" s="678">
        <f>transport!D18</f>
        <v>8.6241418918781356</v>
      </c>
      <c r="F50" s="678">
        <f>transport!E18</f>
        <v>92.530212426913167</v>
      </c>
      <c r="G50" s="678">
        <f>transport!F18</f>
        <v>0</v>
      </c>
      <c r="H50" s="678">
        <f>transport!G18</f>
        <v>37630.439386748316</v>
      </c>
      <c r="I50" s="678">
        <f>transport!H18</f>
        <v>6450.894167292804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44187.025445480482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4.5375371205718515</v>
      </c>
      <c r="D52" s="707">
        <f t="shared" ref="D52:Q52" ca="1" si="6">SUM(D48:D51)</f>
        <v>0</v>
      </c>
      <c r="E52" s="707">
        <f t="shared" si="6"/>
        <v>8.6241418918781356</v>
      </c>
      <c r="F52" s="707">
        <f t="shared" si="6"/>
        <v>92.530212426913167</v>
      </c>
      <c r="G52" s="707">
        <f t="shared" si="6"/>
        <v>0</v>
      </c>
      <c r="H52" s="707">
        <f t="shared" si="6"/>
        <v>38280.617840310006</v>
      </c>
      <c r="I52" s="707">
        <f t="shared" si="6"/>
        <v>6450.894167292804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44837.203899042172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404.71284863281892</v>
      </c>
      <c r="D54" s="678">
        <f ca="1">+landbouw!C12</f>
        <v>18.78526539318441</v>
      </c>
      <c r="E54" s="678">
        <f>+landbouw!D12</f>
        <v>98.246510507640465</v>
      </c>
      <c r="F54" s="678">
        <f>+landbouw!E12</f>
        <v>4.0816300912813972</v>
      </c>
      <c r="G54" s="678">
        <f>+landbouw!F12</f>
        <v>1315.0664805718868</v>
      </c>
      <c r="H54" s="678">
        <f>+landbouw!G12</f>
        <v>0</v>
      </c>
      <c r="I54" s="678">
        <f>+landbouw!H12</f>
        <v>0</v>
      </c>
      <c r="J54" s="678">
        <f>+landbouw!I12</f>
        <v>0</v>
      </c>
      <c r="K54" s="678">
        <f>+landbouw!J12</f>
        <v>105.35627376556384</v>
      </c>
      <c r="L54" s="678">
        <f>+landbouw!K12</f>
        <v>0</v>
      </c>
      <c r="M54" s="678">
        <f>+landbouw!L12</f>
        <v>0</v>
      </c>
      <c r="N54" s="678">
        <f>+landbouw!M12</f>
        <v>0</v>
      </c>
      <c r="O54" s="678">
        <f>+landbouw!N12</f>
        <v>0</v>
      </c>
      <c r="P54" s="678">
        <f>+landbouw!O12</f>
        <v>0</v>
      </c>
      <c r="Q54" s="679">
        <f>+landbouw!P12</f>
        <v>0</v>
      </c>
      <c r="R54" s="706">
        <f ca="1">SUM(C54:Q54)</f>
        <v>1946.2490089623759</v>
      </c>
    </row>
    <row r="55" spans="1:18" ht="15" thickBot="1">
      <c r="A55" s="800" t="s">
        <v>849</v>
      </c>
      <c r="B55" s="810"/>
      <c r="C55" s="678">
        <f ca="1">C25*'EF ele_warmte'!B12</f>
        <v>1148.3255929028446</v>
      </c>
      <c r="D55" s="678"/>
      <c r="E55" s="678">
        <f>E25*EF_CO2_aardgas</f>
        <v>2857.4749275231766</v>
      </c>
      <c r="F55" s="678"/>
      <c r="G55" s="678"/>
      <c r="H55" s="678"/>
      <c r="I55" s="678"/>
      <c r="J55" s="678"/>
      <c r="K55" s="678"/>
      <c r="L55" s="678"/>
      <c r="M55" s="678"/>
      <c r="N55" s="678"/>
      <c r="O55" s="678"/>
      <c r="P55" s="678"/>
      <c r="Q55" s="679"/>
      <c r="R55" s="706">
        <f ca="1">SUM(C55:Q55)</f>
        <v>4005.8005204260212</v>
      </c>
    </row>
    <row r="56" spans="1:18" ht="15.75" thickBot="1">
      <c r="A56" s="798" t="s">
        <v>850</v>
      </c>
      <c r="B56" s="811"/>
      <c r="C56" s="707">
        <f ca="1">SUM(C54:C55)</f>
        <v>1553.0384415356634</v>
      </c>
      <c r="D56" s="707">
        <f t="shared" ref="D56:Q56" ca="1" si="7">SUM(D54:D55)</f>
        <v>18.78526539318441</v>
      </c>
      <c r="E56" s="707">
        <f t="shared" si="7"/>
        <v>2955.7214380308169</v>
      </c>
      <c r="F56" s="707">
        <f t="shared" si="7"/>
        <v>4.0816300912813972</v>
      </c>
      <c r="G56" s="707">
        <f t="shared" si="7"/>
        <v>1315.0664805718868</v>
      </c>
      <c r="H56" s="707">
        <f t="shared" si="7"/>
        <v>0</v>
      </c>
      <c r="I56" s="707">
        <f t="shared" si="7"/>
        <v>0</v>
      </c>
      <c r="J56" s="707">
        <f t="shared" si="7"/>
        <v>0</v>
      </c>
      <c r="K56" s="707">
        <f t="shared" si="7"/>
        <v>105.35627376556384</v>
      </c>
      <c r="L56" s="707">
        <f t="shared" si="7"/>
        <v>0</v>
      </c>
      <c r="M56" s="707">
        <f t="shared" si="7"/>
        <v>0</v>
      </c>
      <c r="N56" s="707">
        <f t="shared" si="7"/>
        <v>0</v>
      </c>
      <c r="O56" s="707">
        <f t="shared" si="7"/>
        <v>0</v>
      </c>
      <c r="P56" s="707">
        <f t="shared" si="7"/>
        <v>0</v>
      </c>
      <c r="Q56" s="708">
        <f t="shared" si="7"/>
        <v>0</v>
      </c>
      <c r="R56" s="709">
        <f ca="1">SUM(R54:R55)</f>
        <v>5952.0495293883969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58052.615521175685</v>
      </c>
      <c r="D61" s="715">
        <f t="shared" ref="D61:Q61" ca="1" si="8">D46+D52+D56</f>
        <v>1355.1354458026442</v>
      </c>
      <c r="E61" s="715">
        <f t="shared" ca="1" si="8"/>
        <v>77108.09248018908</v>
      </c>
      <c r="F61" s="715">
        <f t="shared" si="8"/>
        <v>13414.394650735072</v>
      </c>
      <c r="G61" s="715">
        <f t="shared" ca="1" si="8"/>
        <v>27894.476112788969</v>
      </c>
      <c r="H61" s="715">
        <f t="shared" si="8"/>
        <v>38280.617840310006</v>
      </c>
      <c r="I61" s="715">
        <f t="shared" si="8"/>
        <v>6450.894167292804</v>
      </c>
      <c r="J61" s="715">
        <f t="shared" si="8"/>
        <v>0</v>
      </c>
      <c r="K61" s="715">
        <f t="shared" si="8"/>
        <v>604.11429755748748</v>
      </c>
      <c r="L61" s="715">
        <f t="shared" si="8"/>
        <v>0</v>
      </c>
      <c r="M61" s="715">
        <f t="shared" ca="1" si="8"/>
        <v>0</v>
      </c>
      <c r="N61" s="715">
        <f t="shared" si="8"/>
        <v>0</v>
      </c>
      <c r="O61" s="715">
        <f t="shared" ca="1" si="8"/>
        <v>0</v>
      </c>
      <c r="P61" s="715">
        <f t="shared" si="8"/>
        <v>0</v>
      </c>
      <c r="Q61" s="715">
        <f t="shared" si="8"/>
        <v>0</v>
      </c>
      <c r="R61" s="715">
        <f ca="1">R46+R52+R56</f>
        <v>223160.34051585171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0.20847962733083661</v>
      </c>
      <c r="D63" s="756">
        <f t="shared" ca="1" si="9"/>
        <v>0.2375733654061262</v>
      </c>
      <c r="E63" s="1002">
        <f t="shared" ca="1" si="9"/>
        <v>0.20200000000000001</v>
      </c>
      <c r="F63" s="756">
        <f t="shared" si="9"/>
        <v>0.22699999999999998</v>
      </c>
      <c r="G63" s="756">
        <f t="shared" ca="1" si="9"/>
        <v>0.26700000000000007</v>
      </c>
      <c r="H63" s="756">
        <f t="shared" si="9"/>
        <v>0.26699999999999996</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16073.247556140184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3970.35</v>
      </c>
      <c r="D76" s="1012">
        <f>'lokale energieproductie'!C8</f>
        <v>4669.5515412881832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943.2494113402131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16073.247556140184</v>
      </c>
      <c r="C78" s="730">
        <f>SUM(C72:C77)</f>
        <v>3970.35</v>
      </c>
      <c r="D78" s="731">
        <f t="shared" ref="D78:H78" si="10">SUM(D76:D77)</f>
        <v>4669.5515412881832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943.2494113402131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5704.0714285714284</v>
      </c>
      <c r="D87" s="752">
        <f>'lokale energieproductie'!C17</f>
        <v>6708.5913158546737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1355.1354458026442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5704.0714285714284</v>
      </c>
      <c r="D90" s="730">
        <f t="shared" ref="D90:H90" si="12">SUM(D87:D89)</f>
        <v>6708.5913158546737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1355.1354458026442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55289.469472986668</v>
      </c>
      <c r="C4" s="452">
        <f>huishoudens!C8</f>
        <v>0</v>
      </c>
      <c r="D4" s="452">
        <f>huishoudens!D8</f>
        <v>96962.046217757525</v>
      </c>
      <c r="E4" s="452">
        <f>huishoudens!E8</f>
        <v>48900.507492045355</v>
      </c>
      <c r="F4" s="452">
        <f>huishoudens!F8</f>
        <v>39100.266751349758</v>
      </c>
      <c r="G4" s="452">
        <f>huishoudens!G8</f>
        <v>0</v>
      </c>
      <c r="H4" s="452">
        <f>huishoudens!H8</f>
        <v>0</v>
      </c>
      <c r="I4" s="452">
        <f>huishoudens!I8</f>
        <v>0</v>
      </c>
      <c r="J4" s="452">
        <f>huishoudens!J8</f>
        <v>722.50009637409448</v>
      </c>
      <c r="K4" s="452">
        <f>huishoudens!K8</f>
        <v>0</v>
      </c>
      <c r="L4" s="452">
        <f>huishoudens!L8</f>
        <v>0</v>
      </c>
      <c r="M4" s="452">
        <f>huishoudens!M8</f>
        <v>0</v>
      </c>
      <c r="N4" s="452">
        <f>huishoudens!N8</f>
        <v>19436.459209857159</v>
      </c>
      <c r="O4" s="452">
        <f>huishoudens!O8</f>
        <v>572.18000000000006</v>
      </c>
      <c r="P4" s="453">
        <f>huishoudens!P8</f>
        <v>953.33333333333326</v>
      </c>
      <c r="Q4" s="454">
        <f>SUM(B4:P4)</f>
        <v>261936.76257370389</v>
      </c>
    </row>
    <row r="5" spans="1:17">
      <c r="A5" s="451" t="s">
        <v>155</v>
      </c>
      <c r="B5" s="452">
        <f ca="1">tertiair!B16</f>
        <v>50886.420000000006</v>
      </c>
      <c r="C5" s="452">
        <f ca="1">tertiair!C16</f>
        <v>0</v>
      </c>
      <c r="D5" s="452">
        <f ca="1">tertiair!D16</f>
        <v>95284.527133084877</v>
      </c>
      <c r="E5" s="452">
        <f>tertiair!E16</f>
        <v>520.59069131425213</v>
      </c>
      <c r="F5" s="452">
        <f ca="1">tertiair!F16</f>
        <v>7665.256540186796</v>
      </c>
      <c r="G5" s="452">
        <f>tertiair!G16</f>
        <v>0</v>
      </c>
      <c r="H5" s="452">
        <f>tertiair!H16</f>
        <v>0</v>
      </c>
      <c r="I5" s="452">
        <f>tertiair!I16</f>
        <v>0</v>
      </c>
      <c r="J5" s="452">
        <f>tertiair!J16</f>
        <v>0</v>
      </c>
      <c r="K5" s="452">
        <f>tertiair!K16</f>
        <v>0</v>
      </c>
      <c r="L5" s="452">
        <f ca="1">tertiair!L16</f>
        <v>0</v>
      </c>
      <c r="M5" s="452">
        <f>tertiair!M16</f>
        <v>0</v>
      </c>
      <c r="N5" s="452">
        <f ca="1">tertiair!N16</f>
        <v>4646.5841028306795</v>
      </c>
      <c r="O5" s="452">
        <f>tertiair!O16</f>
        <v>4.6900000000000004</v>
      </c>
      <c r="P5" s="453">
        <f>tertiair!P16</f>
        <v>19.066666666666666</v>
      </c>
      <c r="Q5" s="451">
        <f t="shared" ref="Q5:Q14" ca="1" si="0">SUM(B5:P5)</f>
        <v>159027.13513408328</v>
      </c>
    </row>
    <row r="6" spans="1:17">
      <c r="A6" s="451" t="s">
        <v>193</v>
      </c>
      <c r="B6" s="452">
        <f>'openbare verlichting'!B8</f>
        <v>2437.6819999999998</v>
      </c>
      <c r="C6" s="452"/>
      <c r="D6" s="452"/>
      <c r="E6" s="452"/>
      <c r="F6" s="452"/>
      <c r="G6" s="452"/>
      <c r="H6" s="452"/>
      <c r="I6" s="452"/>
      <c r="J6" s="452"/>
      <c r="K6" s="452"/>
      <c r="L6" s="452"/>
      <c r="M6" s="452"/>
      <c r="N6" s="452"/>
      <c r="O6" s="452"/>
      <c r="P6" s="453"/>
      <c r="Q6" s="451">
        <f t="shared" si="0"/>
        <v>2437.6819999999998</v>
      </c>
    </row>
    <row r="7" spans="1:17">
      <c r="A7" s="451" t="s">
        <v>111</v>
      </c>
      <c r="B7" s="452">
        <f>landbouw!B8</f>
        <v>1941.2584999999999</v>
      </c>
      <c r="C7" s="452">
        <f>landbouw!C8</f>
        <v>79.071428571428584</v>
      </c>
      <c r="D7" s="452">
        <f>landbouw!D8</f>
        <v>486.36886389921023</v>
      </c>
      <c r="E7" s="452">
        <f>landbouw!E8</f>
        <v>17.980749300799108</v>
      </c>
      <c r="F7" s="452">
        <f>landbouw!F8</f>
        <v>4925.3426238647444</v>
      </c>
      <c r="G7" s="452">
        <f>landbouw!G8</f>
        <v>0</v>
      </c>
      <c r="H7" s="452">
        <f>landbouw!H8</f>
        <v>0</v>
      </c>
      <c r="I7" s="452">
        <f>landbouw!I8</f>
        <v>0</v>
      </c>
      <c r="J7" s="452">
        <f>landbouw!J8</f>
        <v>297.61659255808996</v>
      </c>
      <c r="K7" s="452">
        <f>landbouw!K8</f>
        <v>0</v>
      </c>
      <c r="L7" s="452">
        <f>landbouw!L8</f>
        <v>0</v>
      </c>
      <c r="M7" s="452">
        <f>landbouw!M8</f>
        <v>0</v>
      </c>
      <c r="N7" s="452">
        <f>landbouw!N8</f>
        <v>0</v>
      </c>
      <c r="O7" s="452">
        <f>landbouw!O8</f>
        <v>0</v>
      </c>
      <c r="P7" s="453">
        <f>landbouw!P8</f>
        <v>0</v>
      </c>
      <c r="Q7" s="451">
        <f t="shared" si="0"/>
        <v>7747.6387581942727</v>
      </c>
    </row>
    <row r="8" spans="1:17">
      <c r="A8" s="451" t="s">
        <v>649</v>
      </c>
      <c r="B8" s="452">
        <f>industrie!B18</f>
        <v>162372.329</v>
      </c>
      <c r="C8" s="452">
        <f>industrie!C18</f>
        <v>5625</v>
      </c>
      <c r="D8" s="452">
        <f>industrie!D18</f>
        <v>174801.67863067432</v>
      </c>
      <c r="E8" s="452">
        <f>industrie!E18</f>
        <v>9247.5485488733284</v>
      </c>
      <c r="F8" s="452">
        <f>industrie!F18</f>
        <v>52782.827390924416</v>
      </c>
      <c r="G8" s="452">
        <f>industrie!G18</f>
        <v>0</v>
      </c>
      <c r="H8" s="452">
        <f>industrie!H18</f>
        <v>0</v>
      </c>
      <c r="I8" s="452">
        <f>industrie!I18</f>
        <v>0</v>
      </c>
      <c r="J8" s="452">
        <f>industrie!J18</f>
        <v>686.42087478953158</v>
      </c>
      <c r="K8" s="452">
        <f>industrie!K18</f>
        <v>0</v>
      </c>
      <c r="L8" s="452">
        <f>industrie!L18</f>
        <v>0</v>
      </c>
      <c r="M8" s="452">
        <f>industrie!M18</f>
        <v>0</v>
      </c>
      <c r="N8" s="452">
        <f>industrie!N18</f>
        <v>11815.43965809954</v>
      </c>
      <c r="O8" s="452">
        <f>industrie!O18</f>
        <v>0</v>
      </c>
      <c r="P8" s="453">
        <f>industrie!P18</f>
        <v>0</v>
      </c>
      <c r="Q8" s="451">
        <f t="shared" si="0"/>
        <v>417331.2441033611</v>
      </c>
    </row>
    <row r="9" spans="1:17" s="457" customFormat="1">
      <c r="A9" s="455" t="s">
        <v>570</v>
      </c>
      <c r="B9" s="456">
        <f>transport!B14</f>
        <v>21.764894626232362</v>
      </c>
      <c r="C9" s="456">
        <f>transport!C14</f>
        <v>0</v>
      </c>
      <c r="D9" s="456">
        <f>transport!D14</f>
        <v>42.693771741970963</v>
      </c>
      <c r="E9" s="456">
        <f>transport!E14</f>
        <v>407.6220811758289</v>
      </c>
      <c r="F9" s="456">
        <f>transport!F14</f>
        <v>0</v>
      </c>
      <c r="G9" s="456">
        <f>transport!G14</f>
        <v>140937.9752312671</v>
      </c>
      <c r="H9" s="456">
        <f>transport!H14</f>
        <v>25907.205491135759</v>
      </c>
      <c r="I9" s="456">
        <f>transport!I14</f>
        <v>0</v>
      </c>
      <c r="J9" s="456">
        <f>transport!J14</f>
        <v>0</v>
      </c>
      <c r="K9" s="456">
        <f>transport!K14</f>
        <v>0</v>
      </c>
      <c r="L9" s="456">
        <f>transport!L14</f>
        <v>0</v>
      </c>
      <c r="M9" s="456">
        <f>transport!M14</f>
        <v>8961.4263259611671</v>
      </c>
      <c r="N9" s="456">
        <f>transport!N14</f>
        <v>0</v>
      </c>
      <c r="O9" s="456">
        <f>transport!O14</f>
        <v>0</v>
      </c>
      <c r="P9" s="456">
        <f>transport!P14</f>
        <v>0</v>
      </c>
      <c r="Q9" s="455">
        <f>SUM(B9:P9)</f>
        <v>176278.68779590807</v>
      </c>
    </row>
    <row r="10" spans="1:17">
      <c r="A10" s="451" t="s">
        <v>560</v>
      </c>
      <c r="B10" s="452">
        <f>transport!B54</f>
        <v>0</v>
      </c>
      <c r="C10" s="452">
        <f>transport!C54</f>
        <v>0</v>
      </c>
      <c r="D10" s="452">
        <f>transport!D54</f>
        <v>0</v>
      </c>
      <c r="E10" s="452">
        <f>transport!E54</f>
        <v>0</v>
      </c>
      <c r="F10" s="452">
        <f>transport!F54</f>
        <v>0</v>
      </c>
      <c r="G10" s="452">
        <f>transport!G54</f>
        <v>2435.125294238549</v>
      </c>
      <c r="H10" s="452">
        <f>transport!H54</f>
        <v>0</v>
      </c>
      <c r="I10" s="452">
        <f>transport!I54</f>
        <v>0</v>
      </c>
      <c r="J10" s="452">
        <f>transport!J54</f>
        <v>0</v>
      </c>
      <c r="K10" s="452">
        <f>transport!K54</f>
        <v>0</v>
      </c>
      <c r="L10" s="452">
        <f>transport!L54</f>
        <v>0</v>
      </c>
      <c r="M10" s="452">
        <f>transport!M54</f>
        <v>139.18435000860586</v>
      </c>
      <c r="N10" s="452">
        <f>transport!N54</f>
        <v>0</v>
      </c>
      <c r="O10" s="452">
        <f>transport!O54</f>
        <v>0</v>
      </c>
      <c r="P10" s="453">
        <f>transport!P54</f>
        <v>0</v>
      </c>
      <c r="Q10" s="451">
        <f t="shared" si="0"/>
        <v>2574.3096442471551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5508.0950000000003</v>
      </c>
      <c r="C14" s="459"/>
      <c r="D14" s="459">
        <f>'SEAP template'!E25</f>
        <v>14145.915482788001</v>
      </c>
      <c r="E14" s="459"/>
      <c r="F14" s="459"/>
      <c r="G14" s="459"/>
      <c r="H14" s="459"/>
      <c r="I14" s="459"/>
      <c r="J14" s="459"/>
      <c r="K14" s="459"/>
      <c r="L14" s="459"/>
      <c r="M14" s="459"/>
      <c r="N14" s="459"/>
      <c r="O14" s="459"/>
      <c r="P14" s="460"/>
      <c r="Q14" s="451">
        <f t="shared" si="0"/>
        <v>19654.010482788002</v>
      </c>
    </row>
    <row r="15" spans="1:17" s="461" customFormat="1">
      <c r="A15" s="1017" t="s">
        <v>564</v>
      </c>
      <c r="B15" s="957">
        <f ca="1">SUM(B4:B14)</f>
        <v>278457.01886761287</v>
      </c>
      <c r="C15" s="957">
        <f t="shared" ref="C15:Q15" ca="1" si="1">SUM(C4:C14)</f>
        <v>5704.0714285714284</v>
      </c>
      <c r="D15" s="957">
        <f t="shared" ca="1" si="1"/>
        <v>381723.23009994591</v>
      </c>
      <c r="E15" s="957">
        <f t="shared" si="1"/>
        <v>59094.24956270957</v>
      </c>
      <c r="F15" s="957">
        <f t="shared" ca="1" si="1"/>
        <v>104473.69330632572</v>
      </c>
      <c r="G15" s="957">
        <f t="shared" si="1"/>
        <v>143373.10052550567</v>
      </c>
      <c r="H15" s="957">
        <f t="shared" si="1"/>
        <v>25907.205491135759</v>
      </c>
      <c r="I15" s="957">
        <f t="shared" si="1"/>
        <v>0</v>
      </c>
      <c r="J15" s="957">
        <f t="shared" si="1"/>
        <v>1706.537563721716</v>
      </c>
      <c r="K15" s="957">
        <f t="shared" si="1"/>
        <v>0</v>
      </c>
      <c r="L15" s="957">
        <f t="shared" ca="1" si="1"/>
        <v>0</v>
      </c>
      <c r="M15" s="957">
        <f t="shared" si="1"/>
        <v>9100.6106759697723</v>
      </c>
      <c r="N15" s="957">
        <f t="shared" ca="1" si="1"/>
        <v>35898.48297078738</v>
      </c>
      <c r="O15" s="957">
        <f t="shared" si="1"/>
        <v>576.87000000000012</v>
      </c>
      <c r="P15" s="957">
        <f t="shared" si="1"/>
        <v>972.4</v>
      </c>
      <c r="Q15" s="957">
        <f t="shared" ca="1" si="1"/>
        <v>1046987.4704922857</v>
      </c>
    </row>
    <row r="17" spans="1:17">
      <c r="A17" s="462" t="s">
        <v>565</v>
      </c>
      <c r="B17" s="761">
        <f ca="1">huishoudens!B10</f>
        <v>0.20847962733083664</v>
      </c>
      <c r="C17" s="761">
        <f ca="1">huishoudens!C10</f>
        <v>0.2375733654061262</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11526.727991047928</v>
      </c>
      <c r="C22" s="452">
        <f t="shared" ref="C22:C32" ca="1" si="3">C4*$C$17</f>
        <v>0</v>
      </c>
      <c r="D22" s="452">
        <f t="shared" ref="D22:D32" si="4">D4*$D$17</f>
        <v>19586.333335987023</v>
      </c>
      <c r="E22" s="452">
        <f t="shared" ref="E22:E32" si="5">E4*$E$17</f>
        <v>11100.415200694297</v>
      </c>
      <c r="F22" s="452">
        <f t="shared" ref="F22:F32" si="6">F4*$F$17</f>
        <v>10439.771222610387</v>
      </c>
      <c r="G22" s="452">
        <f t="shared" ref="G22:G32" si="7">G4*$G$17</f>
        <v>0</v>
      </c>
      <c r="H22" s="452">
        <f t="shared" ref="H22:H32" si="8">H4*$H$17</f>
        <v>0</v>
      </c>
      <c r="I22" s="452">
        <f t="shared" ref="I22:I32" si="9">I4*$I$17</f>
        <v>0</v>
      </c>
      <c r="J22" s="452">
        <f t="shared" ref="J22:J32" si="10">J4*$J$17</f>
        <v>255.76503411642943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52909.012784456063</v>
      </c>
    </row>
    <row r="23" spans="1:17">
      <c r="A23" s="451" t="s">
        <v>155</v>
      </c>
      <c r="B23" s="452">
        <f t="shared" ca="1" si="2"/>
        <v>10608.781877800433</v>
      </c>
      <c r="C23" s="452">
        <f t="shared" ca="1" si="3"/>
        <v>0</v>
      </c>
      <c r="D23" s="452">
        <f t="shared" ca="1" si="4"/>
        <v>19247.474480883146</v>
      </c>
      <c r="E23" s="452">
        <f t="shared" si="5"/>
        <v>118.17408692833524</v>
      </c>
      <c r="F23" s="452">
        <f t="shared" ca="1" si="6"/>
        <v>2046.6234962298747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32021.053941841787</v>
      </c>
    </row>
    <row r="24" spans="1:17">
      <c r="A24" s="451" t="s">
        <v>193</v>
      </c>
      <c r="B24" s="452">
        <f t="shared" ca="1" si="2"/>
        <v>508.20703491108844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508.20703491108844</v>
      </c>
    </row>
    <row r="25" spans="1:17">
      <c r="A25" s="451" t="s">
        <v>111</v>
      </c>
      <c r="B25" s="452">
        <f t="shared" ca="1" si="2"/>
        <v>404.71284863281892</v>
      </c>
      <c r="C25" s="452">
        <f t="shared" ca="1" si="3"/>
        <v>18.78526539318441</v>
      </c>
      <c r="D25" s="452">
        <f t="shared" si="4"/>
        <v>98.246510507640465</v>
      </c>
      <c r="E25" s="452">
        <f t="shared" si="5"/>
        <v>4.0816300912813972</v>
      </c>
      <c r="F25" s="452">
        <f t="shared" si="6"/>
        <v>1315.0664805718868</v>
      </c>
      <c r="G25" s="452">
        <f t="shared" si="7"/>
        <v>0</v>
      </c>
      <c r="H25" s="452">
        <f t="shared" si="8"/>
        <v>0</v>
      </c>
      <c r="I25" s="452">
        <f t="shared" si="9"/>
        <v>0</v>
      </c>
      <c r="J25" s="452">
        <f t="shared" si="10"/>
        <v>105.35627376556384</v>
      </c>
      <c r="K25" s="452">
        <f t="shared" si="11"/>
        <v>0</v>
      </c>
      <c r="L25" s="452">
        <f t="shared" si="12"/>
        <v>0</v>
      </c>
      <c r="M25" s="452">
        <f t="shared" si="13"/>
        <v>0</v>
      </c>
      <c r="N25" s="452">
        <f t="shared" si="14"/>
        <v>0</v>
      </c>
      <c r="O25" s="452">
        <f t="shared" si="15"/>
        <v>0</v>
      </c>
      <c r="P25" s="453">
        <f t="shared" si="16"/>
        <v>0</v>
      </c>
      <c r="Q25" s="451">
        <f t="shared" ca="1" si="17"/>
        <v>1946.2490089623759</v>
      </c>
    </row>
    <row r="26" spans="1:17">
      <c r="A26" s="451" t="s">
        <v>649</v>
      </c>
      <c r="B26" s="452">
        <f t="shared" ca="1" si="2"/>
        <v>33851.322638760001</v>
      </c>
      <c r="C26" s="452">
        <f t="shared" ca="1" si="3"/>
        <v>1336.3501804094599</v>
      </c>
      <c r="D26" s="452">
        <f t="shared" si="4"/>
        <v>35309.939083396217</v>
      </c>
      <c r="E26" s="452">
        <f t="shared" si="5"/>
        <v>2099.1935205942455</v>
      </c>
      <c r="F26" s="452">
        <f t="shared" si="6"/>
        <v>14093.014913376819</v>
      </c>
      <c r="G26" s="452">
        <f t="shared" si="7"/>
        <v>0</v>
      </c>
      <c r="H26" s="452">
        <f t="shared" si="8"/>
        <v>0</v>
      </c>
      <c r="I26" s="452">
        <f t="shared" si="9"/>
        <v>0</v>
      </c>
      <c r="J26" s="452">
        <f t="shared" si="10"/>
        <v>242.99298967549416</v>
      </c>
      <c r="K26" s="452">
        <f t="shared" si="11"/>
        <v>0</v>
      </c>
      <c r="L26" s="452">
        <f t="shared" si="12"/>
        <v>0</v>
      </c>
      <c r="M26" s="452">
        <f t="shared" si="13"/>
        <v>0</v>
      </c>
      <c r="N26" s="452">
        <f t="shared" si="14"/>
        <v>0</v>
      </c>
      <c r="O26" s="452">
        <f t="shared" si="15"/>
        <v>0</v>
      </c>
      <c r="P26" s="453">
        <f t="shared" si="16"/>
        <v>0</v>
      </c>
      <c r="Q26" s="451">
        <f t="shared" ca="1" si="17"/>
        <v>86932.813326212228</v>
      </c>
    </row>
    <row r="27" spans="1:17" s="457" customFormat="1">
      <c r="A27" s="455" t="s">
        <v>570</v>
      </c>
      <c r="B27" s="755">
        <f t="shared" ca="1" si="2"/>
        <v>4.5375371205718515</v>
      </c>
      <c r="C27" s="456">
        <f t="shared" ca="1" si="3"/>
        <v>0</v>
      </c>
      <c r="D27" s="456">
        <f t="shared" si="4"/>
        <v>8.6241418918781356</v>
      </c>
      <c r="E27" s="456">
        <f t="shared" si="5"/>
        <v>92.530212426913167</v>
      </c>
      <c r="F27" s="456">
        <f t="shared" si="6"/>
        <v>0</v>
      </c>
      <c r="G27" s="456">
        <f t="shared" si="7"/>
        <v>37630.439386748316</v>
      </c>
      <c r="H27" s="456">
        <f t="shared" si="8"/>
        <v>6450.894167292804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44187.025445480482</v>
      </c>
    </row>
    <row r="28" spans="1:17">
      <c r="A28" s="451" t="s">
        <v>560</v>
      </c>
      <c r="B28" s="452">
        <f t="shared" ca="1" si="2"/>
        <v>0</v>
      </c>
      <c r="C28" s="452">
        <f t="shared" ca="1" si="3"/>
        <v>0</v>
      </c>
      <c r="D28" s="452">
        <f t="shared" si="4"/>
        <v>0</v>
      </c>
      <c r="E28" s="452">
        <f t="shared" si="5"/>
        <v>0</v>
      </c>
      <c r="F28" s="452">
        <f t="shared" si="6"/>
        <v>0</v>
      </c>
      <c r="G28" s="452">
        <f t="shared" si="7"/>
        <v>650.17845356169266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650.17845356169266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1148.3255929028446</v>
      </c>
      <c r="C32" s="452">
        <f t="shared" ca="1" si="3"/>
        <v>0</v>
      </c>
      <c r="D32" s="452">
        <f t="shared" si="4"/>
        <v>2857.4749275231766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4005.8005204260212</v>
      </c>
    </row>
    <row r="33" spans="1:17" s="461" customFormat="1">
      <c r="A33" s="1017" t="s">
        <v>564</v>
      </c>
      <c r="B33" s="957">
        <f ca="1">SUM(B22:B32)</f>
        <v>58052.615521175692</v>
      </c>
      <c r="C33" s="957">
        <f t="shared" ref="C33:Q33" ca="1" si="18">SUM(C22:C32)</f>
        <v>1355.1354458026442</v>
      </c>
      <c r="D33" s="957">
        <f t="shared" ca="1" si="18"/>
        <v>77108.09248018908</v>
      </c>
      <c r="E33" s="957">
        <f t="shared" si="18"/>
        <v>13414.394650735072</v>
      </c>
      <c r="F33" s="957">
        <f t="shared" ca="1" si="18"/>
        <v>27894.476112788965</v>
      </c>
      <c r="G33" s="957">
        <f t="shared" si="18"/>
        <v>38280.617840310006</v>
      </c>
      <c r="H33" s="957">
        <f t="shared" si="18"/>
        <v>6450.894167292804</v>
      </c>
      <c r="I33" s="957">
        <f t="shared" si="18"/>
        <v>0</v>
      </c>
      <c r="J33" s="957">
        <f t="shared" si="18"/>
        <v>604.11429755748748</v>
      </c>
      <c r="K33" s="957">
        <f t="shared" si="18"/>
        <v>0</v>
      </c>
      <c r="L33" s="957">
        <f t="shared" ca="1" si="18"/>
        <v>0</v>
      </c>
      <c r="M33" s="957">
        <f t="shared" si="18"/>
        <v>0</v>
      </c>
      <c r="N33" s="957">
        <f t="shared" ca="1" si="18"/>
        <v>0</v>
      </c>
      <c r="O33" s="957">
        <f t="shared" si="18"/>
        <v>0</v>
      </c>
      <c r="P33" s="957">
        <f t="shared" si="18"/>
        <v>0</v>
      </c>
      <c r="Q33" s="957">
        <f t="shared" ca="1" si="18"/>
        <v>223160.34051585174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16073.247556140184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3970.35</v>
      </c>
      <c r="D8" s="1034">
        <f>'SEAP template'!D76</f>
        <v>4669.5515412881832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943.2494113402131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16073.247556140184</v>
      </c>
      <c r="C10" s="1038">
        <f>SUM(C4:C9)</f>
        <v>3970.35</v>
      </c>
      <c r="D10" s="1038">
        <f t="shared" ref="D10:H10" si="0">SUM(D8:D9)</f>
        <v>4669.5515412881832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943.2494113402131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0.20847962733083664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5704.0714285714284</v>
      </c>
      <c r="D17" s="1035">
        <f>'SEAP template'!D87</f>
        <v>6708.5913158546737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1355.1354458026442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5704.0714285714284</v>
      </c>
      <c r="D20" s="1038">
        <f t="shared" ref="D20:H20" si="2">SUM(D17:D19)</f>
        <v>6708.5913158546737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1355.1354458026442</v>
      </c>
    </row>
    <row r="22" spans="1:16">
      <c r="A22" s="462" t="s">
        <v>873</v>
      </c>
      <c r="B22" s="761" t="s">
        <v>867</v>
      </c>
      <c r="C22" s="761">
        <f ca="1">'EF ele_warmte'!B22</f>
        <v>0.2375733654061262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0.20847962733083664</v>
      </c>
      <c r="C17" s="499">
        <f ca="1">'EF ele_warmte'!B22</f>
        <v>0.2375733654061262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2</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38.133333333333333</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0.20847962733083664</v>
      </c>
      <c r="C17" s="499">
        <f ca="1">'EF ele_warmte'!B22</f>
        <v>0.2375733654061262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0.20847962733083664</v>
      </c>
      <c r="C29" s="500">
        <f ca="1">'EF ele_warmte'!B22</f>
        <v>0.2375733654061262</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13058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3785</v>
      </c>
      <c r="C14" s="330"/>
      <c r="D14" s="330"/>
      <c r="E14" s="330"/>
      <c r="F14" s="330"/>
    </row>
    <row r="15" spans="1:6">
      <c r="A15" s="1305" t="s">
        <v>183</v>
      </c>
      <c r="B15" s="1306">
        <v>32</v>
      </c>
      <c r="C15" s="330"/>
      <c r="D15" s="330"/>
      <c r="E15" s="330"/>
      <c r="F15" s="330"/>
    </row>
    <row r="16" spans="1:6">
      <c r="A16" s="1305" t="s">
        <v>6</v>
      </c>
      <c r="B16" s="1306">
        <v>1072</v>
      </c>
      <c r="C16" s="330"/>
      <c r="D16" s="330"/>
      <c r="E16" s="330"/>
      <c r="F16" s="330"/>
    </row>
    <row r="17" spans="1:6">
      <c r="A17" s="1305" t="s">
        <v>7</v>
      </c>
      <c r="B17" s="1306">
        <v>819</v>
      </c>
      <c r="C17" s="330"/>
      <c r="D17" s="330"/>
      <c r="E17" s="330"/>
      <c r="F17" s="330"/>
    </row>
    <row r="18" spans="1:6">
      <c r="A18" s="1305" t="s">
        <v>8</v>
      </c>
      <c r="B18" s="1306">
        <v>1207</v>
      </c>
      <c r="C18" s="330"/>
      <c r="D18" s="330"/>
      <c r="E18" s="330"/>
      <c r="F18" s="330"/>
    </row>
    <row r="19" spans="1:6">
      <c r="A19" s="1305" t="s">
        <v>9</v>
      </c>
      <c r="B19" s="1306">
        <v>1201</v>
      </c>
      <c r="C19" s="330"/>
      <c r="D19" s="330"/>
      <c r="E19" s="330"/>
      <c r="F19" s="330"/>
    </row>
    <row r="20" spans="1:6">
      <c r="A20" s="1305" t="s">
        <v>10</v>
      </c>
      <c r="B20" s="1306">
        <v>770</v>
      </c>
      <c r="C20" s="330"/>
      <c r="D20" s="330"/>
      <c r="E20" s="330"/>
      <c r="F20" s="330"/>
    </row>
    <row r="21" spans="1:6">
      <c r="A21" s="1305" t="s">
        <v>11</v>
      </c>
      <c r="B21" s="1306">
        <v>1839</v>
      </c>
      <c r="C21" s="330"/>
      <c r="D21" s="330"/>
      <c r="E21" s="330"/>
      <c r="F21" s="330"/>
    </row>
    <row r="22" spans="1:6">
      <c r="A22" s="1305" t="s">
        <v>12</v>
      </c>
      <c r="B22" s="1306">
        <v>5220</v>
      </c>
      <c r="C22" s="330"/>
      <c r="D22" s="330"/>
      <c r="E22" s="330"/>
      <c r="F22" s="330"/>
    </row>
    <row r="23" spans="1:6">
      <c r="A23" s="1305" t="s">
        <v>13</v>
      </c>
      <c r="B23" s="1306">
        <v>190</v>
      </c>
      <c r="C23" s="330"/>
      <c r="D23" s="330"/>
      <c r="E23" s="330"/>
      <c r="F23" s="330"/>
    </row>
    <row r="24" spans="1:6">
      <c r="A24" s="1305" t="s">
        <v>14</v>
      </c>
      <c r="B24" s="1306">
        <v>11</v>
      </c>
      <c r="C24" s="330"/>
      <c r="D24" s="330"/>
      <c r="E24" s="330"/>
      <c r="F24" s="330"/>
    </row>
    <row r="25" spans="1:6">
      <c r="A25" s="1305" t="s">
        <v>15</v>
      </c>
      <c r="B25" s="1306">
        <v>527</v>
      </c>
      <c r="C25" s="330"/>
      <c r="D25" s="330"/>
      <c r="E25" s="330"/>
      <c r="F25" s="330"/>
    </row>
    <row r="26" spans="1:6">
      <c r="A26" s="1305" t="s">
        <v>16</v>
      </c>
      <c r="B26" s="1306">
        <v>65</v>
      </c>
      <c r="C26" s="330"/>
      <c r="D26" s="330"/>
      <c r="E26" s="330"/>
      <c r="F26" s="330"/>
    </row>
    <row r="27" spans="1:6">
      <c r="A27" s="1305" t="s">
        <v>17</v>
      </c>
      <c r="B27" s="1306">
        <v>5</v>
      </c>
      <c r="C27" s="330"/>
      <c r="D27" s="330"/>
      <c r="E27" s="330"/>
      <c r="F27" s="330"/>
    </row>
    <row r="28" spans="1:6" s="43" customFormat="1">
      <c r="A28" s="1307" t="s">
        <v>18</v>
      </c>
      <c r="B28" s="1308">
        <v>215142</v>
      </c>
      <c r="C28" s="336"/>
      <c r="D28" s="336"/>
      <c r="E28" s="336"/>
      <c r="F28" s="336"/>
    </row>
    <row r="29" spans="1:6">
      <c r="A29" s="1307" t="s">
        <v>909</v>
      </c>
      <c r="B29" s="1308">
        <v>69</v>
      </c>
      <c r="C29" s="336"/>
      <c r="D29" s="336"/>
      <c r="E29" s="336"/>
      <c r="F29" s="336"/>
    </row>
    <row r="30" spans="1:6">
      <c r="A30" s="1300" t="s">
        <v>910</v>
      </c>
      <c r="B30" s="1309">
        <v>30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5</v>
      </c>
      <c r="F35" s="1306">
        <v>30671.53</v>
      </c>
    </row>
    <row r="36" spans="1:6">
      <c r="A36" s="1305" t="s">
        <v>24</v>
      </c>
      <c r="B36" s="1305" t="s">
        <v>26</v>
      </c>
      <c r="C36" s="1306">
        <v>0</v>
      </c>
      <c r="D36" s="1306">
        <v>0</v>
      </c>
      <c r="E36" s="1306">
        <v>7</v>
      </c>
      <c r="F36" s="1306">
        <v>31885.43</v>
      </c>
    </row>
    <row r="37" spans="1:6">
      <c r="A37" s="1305" t="s">
        <v>24</v>
      </c>
      <c r="B37" s="1305" t="s">
        <v>27</v>
      </c>
      <c r="C37" s="1306">
        <v>0</v>
      </c>
      <c r="D37" s="1306">
        <v>0</v>
      </c>
      <c r="E37" s="1306">
        <v>0</v>
      </c>
      <c r="F37" s="1306">
        <v>0</v>
      </c>
    </row>
    <row r="38" spans="1:6">
      <c r="A38" s="1305" t="s">
        <v>24</v>
      </c>
      <c r="B38" s="1305" t="s">
        <v>28</v>
      </c>
      <c r="C38" s="1306">
        <v>3</v>
      </c>
      <c r="D38" s="1306">
        <v>110202.055069649</v>
      </c>
      <c r="E38" s="1306">
        <v>1</v>
      </c>
      <c r="F38" s="1306">
        <v>178975.9</v>
      </c>
    </row>
    <row r="39" spans="1:6">
      <c r="A39" s="1305" t="s">
        <v>29</v>
      </c>
      <c r="B39" s="1305" t="s">
        <v>30</v>
      </c>
      <c r="C39" s="1306">
        <v>7737</v>
      </c>
      <c r="D39" s="1306">
        <v>107456892.82248899</v>
      </c>
      <c r="E39" s="1306">
        <v>12851</v>
      </c>
      <c r="F39" s="1306">
        <v>50827966</v>
      </c>
    </row>
    <row r="40" spans="1:6">
      <c r="A40" s="1305" t="s">
        <v>29</v>
      </c>
      <c r="B40" s="1305" t="s">
        <v>28</v>
      </c>
      <c r="C40" s="1306">
        <v>1</v>
      </c>
      <c r="D40" s="1306">
        <v>39832.4743597044</v>
      </c>
      <c r="E40" s="1306">
        <v>1</v>
      </c>
      <c r="F40" s="1306">
        <v>18438.87</v>
      </c>
    </row>
    <row r="41" spans="1:6">
      <c r="A41" s="1305" t="s">
        <v>31</v>
      </c>
      <c r="B41" s="1305" t="s">
        <v>32</v>
      </c>
      <c r="C41" s="1306">
        <v>151</v>
      </c>
      <c r="D41" s="1306">
        <v>7966777.2262498103</v>
      </c>
      <c r="E41" s="1306">
        <v>300</v>
      </c>
      <c r="F41" s="1306">
        <v>11894448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12</v>
      </c>
      <c r="D44" s="1306">
        <v>1061519.4128060399</v>
      </c>
      <c r="E44" s="1306">
        <v>41</v>
      </c>
      <c r="F44" s="1306">
        <v>3313800</v>
      </c>
    </row>
    <row r="45" spans="1:6">
      <c r="A45" s="1305" t="s">
        <v>31</v>
      </c>
      <c r="B45" s="1305" t="s">
        <v>36</v>
      </c>
      <c r="C45" s="1306">
        <v>0</v>
      </c>
      <c r="D45" s="1306">
        <v>0</v>
      </c>
      <c r="E45" s="1306">
        <v>10</v>
      </c>
      <c r="F45" s="1306">
        <v>8346563</v>
      </c>
    </row>
    <row r="46" spans="1:6">
      <c r="A46" s="1305" t="s">
        <v>31</v>
      </c>
      <c r="B46" s="1305" t="s">
        <v>37</v>
      </c>
      <c r="C46" s="1306">
        <v>0</v>
      </c>
      <c r="D46" s="1306">
        <v>0</v>
      </c>
      <c r="E46" s="1306">
        <v>0</v>
      </c>
      <c r="F46" s="1306">
        <v>0</v>
      </c>
    </row>
    <row r="47" spans="1:6">
      <c r="A47" s="1305" t="s">
        <v>31</v>
      </c>
      <c r="B47" s="1305" t="s">
        <v>38</v>
      </c>
      <c r="C47" s="1306">
        <v>5</v>
      </c>
      <c r="D47" s="1306">
        <v>420329.45728640398</v>
      </c>
      <c r="E47" s="1306">
        <v>13</v>
      </c>
      <c r="F47" s="1306">
        <v>1440615</v>
      </c>
    </row>
    <row r="48" spans="1:6">
      <c r="A48" s="1305" t="s">
        <v>31</v>
      </c>
      <c r="B48" s="1305" t="s">
        <v>28</v>
      </c>
      <c r="C48" s="1306">
        <v>50</v>
      </c>
      <c r="D48" s="1306">
        <v>177961473.48893601</v>
      </c>
      <c r="E48" s="1306">
        <v>51</v>
      </c>
      <c r="F48" s="1306">
        <v>113000000</v>
      </c>
    </row>
    <row r="49" spans="1:6">
      <c r="A49" s="1305" t="s">
        <v>31</v>
      </c>
      <c r="B49" s="1305" t="s">
        <v>39</v>
      </c>
      <c r="C49" s="1306">
        <v>0</v>
      </c>
      <c r="D49" s="1306">
        <v>0</v>
      </c>
      <c r="E49" s="1306">
        <v>7</v>
      </c>
      <c r="F49" s="1306">
        <v>12083987</v>
      </c>
    </row>
    <row r="50" spans="1:6">
      <c r="A50" s="1305" t="s">
        <v>31</v>
      </c>
      <c r="B50" s="1305" t="s">
        <v>40</v>
      </c>
      <c r="C50" s="1306">
        <v>23</v>
      </c>
      <c r="D50" s="1306">
        <v>18855619.517464899</v>
      </c>
      <c r="E50" s="1306">
        <v>44</v>
      </c>
      <c r="F50" s="1306">
        <v>8355416</v>
      </c>
    </row>
    <row r="51" spans="1:6">
      <c r="A51" s="1305" t="s">
        <v>41</v>
      </c>
      <c r="B51" s="1305" t="s">
        <v>42</v>
      </c>
      <c r="C51" s="1306">
        <v>28</v>
      </c>
      <c r="D51" s="1306">
        <v>526257.89310682099</v>
      </c>
      <c r="E51" s="1306">
        <v>129</v>
      </c>
      <c r="F51" s="1306">
        <v>1857122</v>
      </c>
    </row>
    <row r="52" spans="1:6">
      <c r="A52" s="1305" t="s">
        <v>41</v>
      </c>
      <c r="B52" s="1305" t="s">
        <v>28</v>
      </c>
      <c r="C52" s="1306">
        <v>8</v>
      </c>
      <c r="D52" s="1306">
        <v>155018.959489706</v>
      </c>
      <c r="E52" s="1306">
        <v>9</v>
      </c>
      <c r="F52" s="1306">
        <v>84136.5</v>
      </c>
    </row>
    <row r="53" spans="1:6">
      <c r="A53" s="1305" t="s">
        <v>43</v>
      </c>
      <c r="B53" s="1305" t="s">
        <v>44</v>
      </c>
      <c r="C53" s="1306">
        <v>318</v>
      </c>
      <c r="D53" s="1306">
        <v>14145915.482788</v>
      </c>
      <c r="E53" s="1306">
        <v>603</v>
      </c>
      <c r="F53" s="1306">
        <v>5508095</v>
      </c>
    </row>
    <row r="54" spans="1:6">
      <c r="A54" s="1305" t="s">
        <v>45</v>
      </c>
      <c r="B54" s="1305" t="s">
        <v>46</v>
      </c>
      <c r="C54" s="1306">
        <v>0</v>
      </c>
      <c r="D54" s="1306">
        <v>0</v>
      </c>
      <c r="E54" s="1306">
        <v>1</v>
      </c>
      <c r="F54" s="1306">
        <v>2437682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116</v>
      </c>
      <c r="D57" s="1306">
        <v>7556993.6886839196</v>
      </c>
      <c r="E57" s="1306">
        <v>266</v>
      </c>
      <c r="F57" s="1306">
        <v>5875828</v>
      </c>
    </row>
    <row r="58" spans="1:6">
      <c r="A58" s="1305" t="s">
        <v>48</v>
      </c>
      <c r="B58" s="1305" t="s">
        <v>50</v>
      </c>
      <c r="C58" s="1306">
        <v>65</v>
      </c>
      <c r="D58" s="1306">
        <v>6214187.2833287604</v>
      </c>
      <c r="E58" s="1306">
        <v>95</v>
      </c>
      <c r="F58" s="1306">
        <v>4704477</v>
      </c>
    </row>
    <row r="59" spans="1:6">
      <c r="A59" s="1305" t="s">
        <v>48</v>
      </c>
      <c r="B59" s="1305" t="s">
        <v>51</v>
      </c>
      <c r="C59" s="1306">
        <v>307</v>
      </c>
      <c r="D59" s="1306">
        <v>10279602.053131601</v>
      </c>
      <c r="E59" s="1306">
        <v>542</v>
      </c>
      <c r="F59" s="1306">
        <v>21102200</v>
      </c>
    </row>
    <row r="60" spans="1:6">
      <c r="A60" s="1305" t="s">
        <v>48</v>
      </c>
      <c r="B60" s="1305" t="s">
        <v>52</v>
      </c>
      <c r="C60" s="1306">
        <v>139</v>
      </c>
      <c r="D60" s="1306">
        <v>6156312.50479024</v>
      </c>
      <c r="E60" s="1306">
        <v>199</v>
      </c>
      <c r="F60" s="1306">
        <v>5225553</v>
      </c>
    </row>
    <row r="61" spans="1:6">
      <c r="A61" s="1305" t="s">
        <v>48</v>
      </c>
      <c r="B61" s="1305" t="s">
        <v>53</v>
      </c>
      <c r="C61" s="1306">
        <v>357</v>
      </c>
      <c r="D61" s="1306">
        <v>67208418.240061998</v>
      </c>
      <c r="E61" s="1306">
        <v>707</v>
      </c>
      <c r="F61" s="1306">
        <v>9890215</v>
      </c>
    </row>
    <row r="62" spans="1:6">
      <c r="A62" s="1305" t="s">
        <v>48</v>
      </c>
      <c r="B62" s="1305" t="s">
        <v>54</v>
      </c>
      <c r="C62" s="1306">
        <v>36</v>
      </c>
      <c r="D62" s="1306">
        <v>4927420.4088216703</v>
      </c>
      <c r="E62" s="1306">
        <v>49</v>
      </c>
      <c r="F62" s="1306">
        <v>1786302</v>
      </c>
    </row>
    <row r="63" spans="1:6">
      <c r="A63" s="1305" t="s">
        <v>48</v>
      </c>
      <c r="B63" s="1305" t="s">
        <v>28</v>
      </c>
      <c r="C63" s="1306">
        <v>85</v>
      </c>
      <c r="D63" s="1306">
        <v>3294013.86229586</v>
      </c>
      <c r="E63" s="1306">
        <v>90</v>
      </c>
      <c r="F63" s="1306">
        <v>2301845</v>
      </c>
    </row>
    <row r="64" spans="1:6">
      <c r="A64" s="1305" t="s">
        <v>55</v>
      </c>
      <c r="B64" s="1305" t="s">
        <v>56</v>
      </c>
      <c r="C64" s="1306">
        <v>0</v>
      </c>
      <c r="D64" s="1306">
        <v>0</v>
      </c>
      <c r="E64" s="1306">
        <v>0</v>
      </c>
      <c r="F64" s="1306">
        <v>0</v>
      </c>
    </row>
    <row r="65" spans="1:6">
      <c r="A65" s="1305" t="s">
        <v>55</v>
      </c>
      <c r="B65" s="1305" t="s">
        <v>28</v>
      </c>
      <c r="C65" s="1306">
        <v>5</v>
      </c>
      <c r="D65" s="1306">
        <v>209700.484241606</v>
      </c>
      <c r="E65" s="1306">
        <v>2</v>
      </c>
      <c r="F65" s="1306">
        <v>6726.7650000000003</v>
      </c>
    </row>
    <row r="66" spans="1:6">
      <c r="A66" s="1305" t="s">
        <v>55</v>
      </c>
      <c r="B66" s="1305" t="s">
        <v>57</v>
      </c>
      <c r="C66" s="1306">
        <v>3</v>
      </c>
      <c r="D66" s="1306">
        <v>447602.219310652</v>
      </c>
      <c r="E66" s="1306">
        <v>17</v>
      </c>
      <c r="F66" s="1306">
        <v>635247.1</v>
      </c>
    </row>
    <row r="67" spans="1:6">
      <c r="A67" s="1307" t="s">
        <v>55</v>
      </c>
      <c r="B67" s="1307" t="s">
        <v>58</v>
      </c>
      <c r="C67" s="1306">
        <v>0</v>
      </c>
      <c r="D67" s="1306">
        <v>0</v>
      </c>
      <c r="E67" s="1306">
        <v>0</v>
      </c>
      <c r="F67" s="1306">
        <v>0</v>
      </c>
    </row>
    <row r="68" spans="1:6">
      <c r="A68" s="1300" t="s">
        <v>55</v>
      </c>
      <c r="B68" s="1300" t="s">
        <v>59</v>
      </c>
      <c r="C68" s="1309">
        <v>8</v>
      </c>
      <c r="D68" s="1309">
        <v>315307.48330053798</v>
      </c>
      <c r="E68" s="1309">
        <v>30</v>
      </c>
      <c r="F68" s="1309">
        <v>758502.8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158848082</v>
      </c>
      <c r="E73" s="450"/>
      <c r="F73" s="330"/>
    </row>
    <row r="74" spans="1:6">
      <c r="A74" s="1305" t="s">
        <v>63</v>
      </c>
      <c r="B74" s="1305" t="s">
        <v>710</v>
      </c>
      <c r="C74" s="1319" t="s">
        <v>712</v>
      </c>
      <c r="D74" s="1320">
        <v>17132931.578980722</v>
      </c>
      <c r="E74" s="450"/>
      <c r="F74" s="330"/>
    </row>
    <row r="75" spans="1:6">
      <c r="A75" s="1305" t="s">
        <v>64</v>
      </c>
      <c r="B75" s="1305" t="s">
        <v>709</v>
      </c>
      <c r="C75" s="1319" t="s">
        <v>713</v>
      </c>
      <c r="D75" s="1320">
        <v>33520128</v>
      </c>
      <c r="E75" s="450"/>
      <c r="F75" s="330"/>
    </row>
    <row r="76" spans="1:6">
      <c r="A76" s="1305" t="s">
        <v>64</v>
      </c>
      <c r="B76" s="1305" t="s">
        <v>710</v>
      </c>
      <c r="C76" s="1319" t="s">
        <v>714</v>
      </c>
      <c r="D76" s="1320">
        <v>622862.57898072002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691202.84203855996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4443.0646029866684</v>
      </c>
      <c r="C91" s="330"/>
      <c r="D91" s="330"/>
      <c r="E91" s="330"/>
      <c r="F91" s="330"/>
    </row>
    <row r="92" spans="1:6">
      <c r="A92" s="1300" t="s">
        <v>68</v>
      </c>
      <c r="B92" s="1301">
        <v>11630.182953153515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3773</v>
      </c>
      <c r="C97" s="330"/>
      <c r="D97" s="330"/>
      <c r="E97" s="330"/>
      <c r="F97" s="330"/>
    </row>
    <row r="98" spans="1:6">
      <c r="A98" s="1305" t="s">
        <v>71</v>
      </c>
      <c r="B98" s="1306">
        <v>0</v>
      </c>
      <c r="C98" s="330"/>
      <c r="D98" s="330"/>
      <c r="E98" s="330"/>
      <c r="F98" s="330"/>
    </row>
    <row r="99" spans="1:6">
      <c r="A99" s="1305" t="s">
        <v>72</v>
      </c>
      <c r="B99" s="1306">
        <v>254</v>
      </c>
      <c r="C99" s="330"/>
      <c r="D99" s="330"/>
      <c r="E99" s="330"/>
      <c r="F99" s="330"/>
    </row>
    <row r="100" spans="1:6">
      <c r="A100" s="1305" t="s">
        <v>73</v>
      </c>
      <c r="B100" s="1306">
        <v>1056</v>
      </c>
      <c r="C100" s="330"/>
      <c r="D100" s="330"/>
      <c r="E100" s="330"/>
      <c r="F100" s="330"/>
    </row>
    <row r="101" spans="1:6">
      <c r="A101" s="1305" t="s">
        <v>74</v>
      </c>
      <c r="B101" s="1306">
        <v>140</v>
      </c>
      <c r="C101" s="330"/>
      <c r="D101" s="330"/>
      <c r="E101" s="330"/>
      <c r="F101" s="330"/>
    </row>
    <row r="102" spans="1:6">
      <c r="A102" s="1305" t="s">
        <v>75</v>
      </c>
      <c r="B102" s="1306">
        <v>192</v>
      </c>
      <c r="C102" s="330"/>
      <c r="D102" s="330"/>
      <c r="E102" s="330"/>
      <c r="F102" s="330"/>
    </row>
    <row r="103" spans="1:6">
      <c r="A103" s="1305" t="s">
        <v>76</v>
      </c>
      <c r="B103" s="1306">
        <v>423</v>
      </c>
      <c r="C103" s="330"/>
      <c r="D103" s="330"/>
      <c r="E103" s="330"/>
      <c r="F103" s="330"/>
    </row>
    <row r="104" spans="1:6">
      <c r="A104" s="1305" t="s">
        <v>77</v>
      </c>
      <c r="B104" s="1306">
        <v>5315</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2</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27</v>
      </c>
      <c r="C123" s="1306">
        <v>41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325</v>
      </c>
      <c r="C129" s="330"/>
      <c r="D129" s="330"/>
      <c r="E129" s="330"/>
      <c r="F129" s="330"/>
    </row>
    <row r="130" spans="1:6">
      <c r="A130" s="1305" t="s">
        <v>294</v>
      </c>
      <c r="B130" s="1306">
        <v>3</v>
      </c>
      <c r="C130" s="330"/>
      <c r="D130" s="330"/>
      <c r="E130" s="330"/>
      <c r="F130" s="330"/>
    </row>
    <row r="131" spans="1:6">
      <c r="A131" s="1305" t="s">
        <v>295</v>
      </c>
      <c r="B131" s="1306">
        <v>1</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278457.01886761293</v>
      </c>
      <c r="C3" s="43" t="s">
        <v>169</v>
      </c>
      <c r="D3" s="43"/>
      <c r="E3" s="154"/>
      <c r="F3" s="43"/>
      <c r="G3" s="43"/>
      <c r="H3" s="43"/>
      <c r="I3" s="43"/>
      <c r="J3" s="43"/>
      <c r="K3" s="96"/>
    </row>
    <row r="4" spans="1:11">
      <c r="A4" s="359" t="s">
        <v>170</v>
      </c>
      <c r="B4" s="49">
        <f>IF(ISERROR('SEAP template'!B78+'SEAP template'!C78),0,'SEAP template'!B78+'SEAP template'!C78)</f>
        <v>20043.597556140183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943.2494113402131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0.20847962733083664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1355.1354458026442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5704.0714285714284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0.2375733654061262</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2437.6819999999998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2437.6819999999998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0.20847962733083664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508.20703491108844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50846.404869999998</v>
      </c>
      <c r="C5" s="17">
        <f>IF(ISERROR('Eigen informatie GS &amp; warmtenet'!B57),0,'Eigen informatie GS &amp; warmtenet'!B57)</f>
        <v>0</v>
      </c>
      <c r="D5" s="30">
        <f>(SUM(HH_hh_gas_kWh,HH_rest_gas_kWh)/1000)*0.902</f>
        <v>96962.046217757525</v>
      </c>
      <c r="E5" s="17">
        <f>B46*B57</f>
        <v>48900.507492045355</v>
      </c>
      <c r="F5" s="17">
        <f>B51*B62</f>
        <v>39100.266751349758</v>
      </c>
      <c r="G5" s="18"/>
      <c r="H5" s="17"/>
      <c r="I5" s="17"/>
      <c r="J5" s="17">
        <f>B50*B61+C50*C61</f>
        <v>722.50009637409448</v>
      </c>
      <c r="K5" s="17"/>
      <c r="L5" s="17"/>
      <c r="M5" s="17"/>
      <c r="N5" s="17">
        <f>B48*B59+C48*C59</f>
        <v>19436.459209857159</v>
      </c>
      <c r="O5" s="17">
        <f>B69*B70*B71</f>
        <v>572.18000000000006</v>
      </c>
      <c r="P5" s="17">
        <f>B77*B78*B79/1000-B77*B78*B79/1000/B80</f>
        <v>953.33333333333326</v>
      </c>
    </row>
    <row r="6" spans="1:16">
      <c r="A6" s="16" t="s">
        <v>630</v>
      </c>
      <c r="B6" s="763">
        <f>kWh_PV_kleiner_dan_10kW</f>
        <v>4443.0646029866684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55289.469472986668</v>
      </c>
      <c r="C8" s="21">
        <f>C5</f>
        <v>0</v>
      </c>
      <c r="D8" s="21">
        <f>D5</f>
        <v>96962.046217757525</v>
      </c>
      <c r="E8" s="21">
        <f>E5</f>
        <v>48900.507492045355</v>
      </c>
      <c r="F8" s="21">
        <f>F5</f>
        <v>39100.266751349758</v>
      </c>
      <c r="G8" s="21"/>
      <c r="H8" s="21"/>
      <c r="I8" s="21"/>
      <c r="J8" s="21">
        <f>J5</f>
        <v>722.50009637409448</v>
      </c>
      <c r="K8" s="21"/>
      <c r="L8" s="21">
        <f>L5</f>
        <v>0</v>
      </c>
      <c r="M8" s="21">
        <f>M5</f>
        <v>0</v>
      </c>
      <c r="N8" s="21">
        <f>N5</f>
        <v>19436.459209857159</v>
      </c>
      <c r="O8" s="21">
        <f>O5</f>
        <v>572.18000000000006</v>
      </c>
      <c r="P8" s="21">
        <f>P5</f>
        <v>953.33333333333326</v>
      </c>
    </row>
    <row r="9" spans="1:16">
      <c r="B9" s="19"/>
      <c r="C9" s="19"/>
      <c r="D9" s="258"/>
      <c r="E9" s="19"/>
      <c r="F9" s="19"/>
      <c r="G9" s="19"/>
      <c r="H9" s="19"/>
      <c r="I9" s="19"/>
      <c r="J9" s="19"/>
      <c r="K9" s="19"/>
      <c r="L9" s="19"/>
      <c r="M9" s="19"/>
      <c r="N9" s="19"/>
      <c r="O9" s="19"/>
      <c r="P9" s="19"/>
    </row>
    <row r="10" spans="1:16">
      <c r="A10" s="24" t="s">
        <v>213</v>
      </c>
      <c r="B10" s="25">
        <f ca="1">'EF ele_warmte'!B12</f>
        <v>0.20847962733083664</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11526.727991047928</v>
      </c>
      <c r="C12" s="23">
        <f ca="1">C10*C8</f>
        <v>0</v>
      </c>
      <c r="D12" s="23">
        <f>D8*D10</f>
        <v>19586.333335987023</v>
      </c>
      <c r="E12" s="23">
        <f>E10*E8</f>
        <v>11100.415200694297</v>
      </c>
      <c r="F12" s="23">
        <f>F10*F8</f>
        <v>10439.771222610387</v>
      </c>
      <c r="G12" s="23"/>
      <c r="H12" s="23"/>
      <c r="I12" s="23"/>
      <c r="J12" s="23">
        <f>J10*J8</f>
        <v>255.76503411642943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3773</v>
      </c>
      <c r="C18" s="166" t="s">
        <v>110</v>
      </c>
      <c r="D18" s="228"/>
      <c r="E18" s="15"/>
    </row>
    <row r="19" spans="1:7">
      <c r="A19" s="171" t="s">
        <v>71</v>
      </c>
      <c r="B19" s="37">
        <f>aantalw2001_ander</f>
        <v>0</v>
      </c>
      <c r="C19" s="166" t="s">
        <v>110</v>
      </c>
      <c r="D19" s="229"/>
      <c r="E19" s="15"/>
    </row>
    <row r="20" spans="1:7">
      <c r="A20" s="171" t="s">
        <v>72</v>
      </c>
      <c r="B20" s="37">
        <f>aantalw2001_propaan</f>
        <v>254</v>
      </c>
      <c r="C20" s="167">
        <f>IF(ISERROR(B20/SUM($B$20,$B$21,$B$22)*100),0,B20/SUM($B$20,$B$21,$B$22)*100)</f>
        <v>17.517241379310345</v>
      </c>
      <c r="D20" s="229"/>
      <c r="E20" s="15"/>
    </row>
    <row r="21" spans="1:7">
      <c r="A21" s="171" t="s">
        <v>73</v>
      </c>
      <c r="B21" s="37">
        <f>aantalw2001_elektriciteit</f>
        <v>1056</v>
      </c>
      <c r="C21" s="167">
        <f>IF(ISERROR(B21/SUM($B$20,$B$21,$B$22)*100),0,B21/SUM($B$20,$B$21,$B$22)*100)</f>
        <v>72.827586206896555</v>
      </c>
      <c r="D21" s="229"/>
      <c r="E21" s="15"/>
    </row>
    <row r="22" spans="1:7">
      <c r="A22" s="171" t="s">
        <v>74</v>
      </c>
      <c r="B22" s="37">
        <f>aantalw2001_hout</f>
        <v>140</v>
      </c>
      <c r="C22" s="167">
        <f>IF(ISERROR(B22/SUM($B$20,$B$21,$B$22)*100),0,B22/SUM($B$20,$B$21,$B$22)*100)</f>
        <v>9.6551724137931032</v>
      </c>
      <c r="D22" s="229"/>
      <c r="E22" s="15"/>
    </row>
    <row r="23" spans="1:7">
      <c r="A23" s="171" t="s">
        <v>75</v>
      </c>
      <c r="B23" s="37">
        <f>aantalw2001_niet_gespec</f>
        <v>192</v>
      </c>
      <c r="C23" s="166" t="s">
        <v>110</v>
      </c>
      <c r="D23" s="228"/>
      <c r="E23" s="15"/>
    </row>
    <row r="24" spans="1:7">
      <c r="A24" s="171" t="s">
        <v>76</v>
      </c>
      <c r="B24" s="37">
        <f>aantalw2001_steenkool</f>
        <v>423</v>
      </c>
      <c r="C24" s="166" t="s">
        <v>110</v>
      </c>
      <c r="D24" s="229"/>
      <c r="E24" s="15"/>
    </row>
    <row r="25" spans="1:7">
      <c r="A25" s="171" t="s">
        <v>77</v>
      </c>
      <c r="B25" s="37">
        <f>aantalw2001_stookolie</f>
        <v>5315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13058</v>
      </c>
      <c r="C28" s="36"/>
      <c r="D28" s="228"/>
    </row>
    <row r="29" spans="1:7" s="15" customFormat="1">
      <c r="A29" s="230" t="s">
        <v>737</v>
      </c>
      <c r="B29" s="37">
        <f>SUM(HH_hh_gas_aantal,HH_rest_gas_aantal)</f>
        <v>7738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7738</v>
      </c>
      <c r="C32" s="167">
        <f>IF(ISERROR(B32/SUM($B$32,$B$34,$B$35,$B$36,$B$38,$B$39)*100),0,B32/SUM($B$32,$B$34,$B$35,$B$36,$B$38,$B$39)*100)</f>
        <v>59.486469864698641</v>
      </c>
      <c r="D32" s="233"/>
      <c r="G32" s="15"/>
    </row>
    <row r="33" spans="1:7">
      <c r="A33" s="171" t="s">
        <v>71</v>
      </c>
      <c r="B33" s="34" t="s">
        <v>110</v>
      </c>
      <c r="C33" s="167"/>
      <c r="D33" s="233"/>
      <c r="G33" s="15"/>
    </row>
    <row r="34" spans="1:7">
      <c r="A34" s="171" t="s">
        <v>72</v>
      </c>
      <c r="B34" s="33">
        <f>IF((($B$28-$B$32-$B$39-$B$77-$B$38)*C20/100)&lt;0,0,($B$28-$B$32-$B$39-$B$77-$B$38)*C20/100)</f>
        <v>612.57793103448273</v>
      </c>
      <c r="C34" s="167">
        <f>IF(ISERROR(B34/SUM($B$32,$B$34,$B$35,$B$36,$B$38,$B$39)*100),0,B34/SUM($B$32,$B$34,$B$35,$B$36,$B$38,$B$39)*100)</f>
        <v>4.7092399372269584</v>
      </c>
      <c r="D34" s="233"/>
      <c r="G34" s="15"/>
    </row>
    <row r="35" spans="1:7">
      <c r="A35" s="171" t="s">
        <v>73</v>
      </c>
      <c r="B35" s="33">
        <f>IF((($B$28-$B$32-$B$39-$B$77-$B$38)*C21/100)&lt;0,0,($B$28-$B$32-$B$39-$B$77-$B$38)*C21/100)</f>
        <v>2546.7806896551724</v>
      </c>
      <c r="C35" s="167">
        <f>IF(ISERROR(B35/SUM($B$32,$B$34,$B$35,$B$36,$B$38,$B$39)*100),0,B35/SUM($B$32,$B$34,$B$35,$B$36,$B$38,$B$39)*100)</f>
        <v>19.578572337447511</v>
      </c>
      <c r="D35" s="233"/>
      <c r="G35" s="15"/>
    </row>
    <row r="36" spans="1:7">
      <c r="A36" s="171" t="s">
        <v>74</v>
      </c>
      <c r="B36" s="33">
        <f>IF((($B$28-$B$32-$B$39-$B$77-$B$38)*C22/100)&lt;0,0,($B$28-$B$32-$B$39-$B$77-$B$38)*C22/100)</f>
        <v>337.64137931034486</v>
      </c>
      <c r="C36" s="167">
        <f>IF(ISERROR(B36/SUM($B$32,$B$34,$B$35,$B$36,$B$38,$B$39)*100),0,B36/SUM($B$32,$B$34,$B$35,$B$36,$B$38,$B$39)*100)</f>
        <v>2.5956440598888748</v>
      </c>
      <c r="D36" s="233"/>
      <c r="G36" s="15"/>
    </row>
    <row r="37" spans="1:7">
      <c r="A37" s="171" t="s">
        <v>75</v>
      </c>
      <c r="B37" s="34" t="s">
        <v>110</v>
      </c>
      <c r="C37" s="167"/>
      <c r="D37" s="173"/>
      <c r="G37" s="15"/>
    </row>
    <row r="38" spans="1:7">
      <c r="A38" s="171" t="s">
        <v>76</v>
      </c>
      <c r="B38" s="33">
        <f>IF((B24-(B29-B18)*0.1)&lt;0,0,B24-(B29-B18)*0.1)</f>
        <v>26.5</v>
      </c>
      <c r="C38" s="167">
        <f>IF(ISERROR(B38/SUM($B$32,$B$34,$B$35,$B$36,$B$38,$B$39)*100),0,B38/SUM($B$32,$B$34,$B$35,$B$36,$B$38,$B$39)*100)</f>
        <v>0.20372078720787209</v>
      </c>
      <c r="D38" s="234"/>
      <c r="G38" s="15"/>
    </row>
    <row r="39" spans="1:7">
      <c r="A39" s="171" t="s">
        <v>77</v>
      </c>
      <c r="B39" s="33">
        <f>IF((B25-(B29-B18))&lt;0,0,B25-(B29-B18)*0.9)</f>
        <v>1746.5</v>
      </c>
      <c r="C39" s="167">
        <f>IF(ISERROR(B39/SUM($B$32,$B$34,$B$35,$B$36,$B$38,$B$39)*100),0,B39/SUM($B$32,$B$34,$B$35,$B$36,$B$38,$B$39)*100)</f>
        <v>13.426353013530134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7738</v>
      </c>
      <c r="C44" s="34" t="s">
        <v>110</v>
      </c>
      <c r="D44" s="174"/>
    </row>
    <row r="45" spans="1:7">
      <c r="A45" s="171" t="s">
        <v>71</v>
      </c>
      <c r="B45" s="33" t="str">
        <f t="shared" si="0"/>
        <v>-</v>
      </c>
      <c r="C45" s="34" t="s">
        <v>110</v>
      </c>
      <c r="D45" s="174"/>
    </row>
    <row r="46" spans="1:7">
      <c r="A46" s="171" t="s">
        <v>72</v>
      </c>
      <c r="B46" s="33">
        <f t="shared" si="0"/>
        <v>612.57793103448273</v>
      </c>
      <c r="C46" s="34" t="s">
        <v>110</v>
      </c>
      <c r="D46" s="174"/>
    </row>
    <row r="47" spans="1:7">
      <c r="A47" s="171" t="s">
        <v>73</v>
      </c>
      <c r="B47" s="33">
        <f t="shared" si="0"/>
        <v>2546.7806896551724</v>
      </c>
      <c r="C47" s="34" t="s">
        <v>110</v>
      </c>
      <c r="D47" s="174"/>
    </row>
    <row r="48" spans="1:7">
      <c r="A48" s="171" t="s">
        <v>74</v>
      </c>
      <c r="B48" s="33">
        <f t="shared" si="0"/>
        <v>337.64137931034486</v>
      </c>
      <c r="C48" s="33">
        <f>B48*10</f>
        <v>3376.4137931034484</v>
      </c>
      <c r="D48" s="234"/>
    </row>
    <row r="49" spans="1:6">
      <c r="A49" s="171" t="s">
        <v>75</v>
      </c>
      <c r="B49" s="33" t="str">
        <f t="shared" si="0"/>
        <v>-</v>
      </c>
      <c r="C49" s="34" t="s">
        <v>110</v>
      </c>
      <c r="D49" s="234"/>
    </row>
    <row r="50" spans="1:6">
      <c r="A50" s="171" t="s">
        <v>76</v>
      </c>
      <c r="B50" s="33">
        <f t="shared" si="0"/>
        <v>26.5</v>
      </c>
      <c r="C50" s="33">
        <f>B50*2</f>
        <v>53</v>
      </c>
      <c r="D50" s="234"/>
    </row>
    <row r="51" spans="1:6">
      <c r="A51" s="171" t="s">
        <v>77</v>
      </c>
      <c r="B51" s="33">
        <f t="shared" si="0"/>
        <v>1746.5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366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50886.420000000006</v>
      </c>
      <c r="C5" s="17">
        <f>IF(ISERROR('Eigen informatie GS &amp; warmtenet'!B58),0,'Eigen informatie GS &amp; warmtenet'!B58)</f>
        <v>0</v>
      </c>
      <c r="D5" s="30">
        <f>SUM(D6:D12)</f>
        <v>95284.527133084877</v>
      </c>
      <c r="E5" s="17">
        <f>SUM(E6:E12)</f>
        <v>520.59069131425213</v>
      </c>
      <c r="F5" s="17">
        <f>SUM(F6:F12)</f>
        <v>7665.256540186796</v>
      </c>
      <c r="G5" s="18"/>
      <c r="H5" s="17"/>
      <c r="I5" s="17"/>
      <c r="J5" s="17">
        <f>SUM(J6:J12)</f>
        <v>0</v>
      </c>
      <c r="K5" s="17"/>
      <c r="L5" s="17"/>
      <c r="M5" s="17"/>
      <c r="N5" s="17">
        <f>SUM(N6:N12)</f>
        <v>4646.5841028306795</v>
      </c>
      <c r="O5" s="17">
        <f>B38*B39*B40</f>
        <v>4.6900000000000004</v>
      </c>
      <c r="P5" s="17">
        <f>B46*B47*B48/1000-B46*B47*B48/1000/B49</f>
        <v>19.066666666666666</v>
      </c>
      <c r="R5" s="32"/>
    </row>
    <row r="6" spans="1:18">
      <c r="A6" s="32" t="s">
        <v>53</v>
      </c>
      <c r="B6" s="37">
        <f>B26</f>
        <v>9890.2150000000001</v>
      </c>
      <c r="C6" s="33"/>
      <c r="D6" s="37">
        <f>IF(ISERROR(TER_kantoor_gas_kWh/1000),0,TER_kantoor_gas_kWh/1000)*0.902</f>
        <v>60621.993252535933</v>
      </c>
      <c r="E6" s="33">
        <f>$C$26*'E Balans VL '!I12/100/3.6*1000000</f>
        <v>28.653403955295783</v>
      </c>
      <c r="F6" s="33">
        <f>$C$26*('E Balans VL '!L12+'E Balans VL '!N12)/100/3.6*1000000</f>
        <v>1119.3544396693815</v>
      </c>
      <c r="G6" s="34"/>
      <c r="H6" s="33"/>
      <c r="I6" s="33"/>
      <c r="J6" s="33">
        <f>$C$26*('E Balans VL '!D12+'E Balans VL '!E12)/100/3.6*1000000</f>
        <v>0</v>
      </c>
      <c r="K6" s="33"/>
      <c r="L6" s="33"/>
      <c r="M6" s="33"/>
      <c r="N6" s="33">
        <f>$C$26*'E Balans VL '!Y12/100/3.6*1000000</f>
        <v>98.993764714212972</v>
      </c>
      <c r="O6" s="33"/>
      <c r="P6" s="33"/>
      <c r="R6" s="32"/>
    </row>
    <row r="7" spans="1:18">
      <c r="A7" s="32" t="s">
        <v>52</v>
      </c>
      <c r="B7" s="37">
        <f t="shared" ref="B7:B12" si="0">B27</f>
        <v>5225.5529999999999</v>
      </c>
      <c r="C7" s="33"/>
      <c r="D7" s="37">
        <f>IF(ISERROR(TER_horeca_gas_kWh/1000),0,TER_horeca_gas_kWh/1000)*0.902</f>
        <v>5552.9938793207966</v>
      </c>
      <c r="E7" s="33">
        <f>$C$27*'E Balans VL '!I9/100/3.6*1000000</f>
        <v>219.35411503346813</v>
      </c>
      <c r="F7" s="33">
        <f>$C$27*('E Balans VL '!L9+'E Balans VL '!N9)/100/3.6*1000000</f>
        <v>1122.8172221069151</v>
      </c>
      <c r="G7" s="34"/>
      <c r="H7" s="33"/>
      <c r="I7" s="33"/>
      <c r="J7" s="33">
        <f>$C$27*('E Balans VL '!D9+'E Balans VL '!E9)/100/3.6*1000000</f>
        <v>0</v>
      </c>
      <c r="K7" s="33"/>
      <c r="L7" s="33"/>
      <c r="M7" s="33"/>
      <c r="N7" s="33">
        <f>$C$27*'E Balans VL '!Y9/100/3.6*1000000</f>
        <v>1.3465793089811737</v>
      </c>
      <c r="O7" s="33"/>
      <c r="P7" s="33"/>
      <c r="R7" s="32"/>
    </row>
    <row r="8" spans="1:18">
      <c r="A8" s="6" t="s">
        <v>51</v>
      </c>
      <c r="B8" s="37">
        <f t="shared" si="0"/>
        <v>21102.2</v>
      </c>
      <c r="C8" s="33"/>
      <c r="D8" s="37">
        <f>IF(ISERROR(TER_handel_gas_kWh/1000),0,TER_handel_gas_kWh/1000)*0.902</f>
        <v>9272.2010519247033</v>
      </c>
      <c r="E8" s="33">
        <f>$C$28*'E Balans VL '!I13/100/3.6*1000000</f>
        <v>226.65519086180765</v>
      </c>
      <c r="F8" s="33">
        <f>$C$28*('E Balans VL '!L13+'E Balans VL '!N13)/100/3.6*1000000</f>
        <v>2731.854048375299</v>
      </c>
      <c r="G8" s="34"/>
      <c r="H8" s="33"/>
      <c r="I8" s="33"/>
      <c r="J8" s="33">
        <f>$C$28*('E Balans VL '!D13+'E Balans VL '!E13)/100/3.6*1000000</f>
        <v>0</v>
      </c>
      <c r="K8" s="33"/>
      <c r="L8" s="33"/>
      <c r="M8" s="33"/>
      <c r="N8" s="33">
        <f>$C$28*'E Balans VL '!Y13/100/3.6*1000000</f>
        <v>171.18219863021841</v>
      </c>
      <c r="O8" s="33"/>
      <c r="P8" s="33"/>
      <c r="R8" s="32"/>
    </row>
    <row r="9" spans="1:18">
      <c r="A9" s="32" t="s">
        <v>50</v>
      </c>
      <c r="B9" s="37">
        <f t="shared" si="0"/>
        <v>4704.4769999999999</v>
      </c>
      <c r="C9" s="33"/>
      <c r="D9" s="37">
        <f>IF(ISERROR(TER_gezond_gas_kWh/1000),0,TER_gezond_gas_kWh/1000)*0.902</f>
        <v>5605.1969295625422</v>
      </c>
      <c r="E9" s="33">
        <f>$C$29*'E Balans VL '!I10/100/3.6*1000000</f>
        <v>3.7450679694205271</v>
      </c>
      <c r="F9" s="33">
        <f>$C$29*('E Balans VL '!L10+'E Balans VL '!N10)/100/3.6*1000000</f>
        <v>571.89716516615999</v>
      </c>
      <c r="G9" s="34"/>
      <c r="H9" s="33"/>
      <c r="I9" s="33"/>
      <c r="J9" s="33">
        <f>$C$29*('E Balans VL '!D10+'E Balans VL '!E10)/100/3.6*1000000</f>
        <v>0</v>
      </c>
      <c r="K9" s="33"/>
      <c r="L9" s="33"/>
      <c r="M9" s="33"/>
      <c r="N9" s="33">
        <f>$C$29*'E Balans VL '!Y10/100/3.6*1000000</f>
        <v>38.001518836709934</v>
      </c>
      <c r="O9" s="33"/>
      <c r="P9" s="33"/>
      <c r="R9" s="32"/>
    </row>
    <row r="10" spans="1:18">
      <c r="A10" s="32" t="s">
        <v>49</v>
      </c>
      <c r="B10" s="37">
        <f t="shared" si="0"/>
        <v>5875.8280000000004</v>
      </c>
      <c r="C10" s="33"/>
      <c r="D10" s="37">
        <f>IF(ISERROR(TER_ander_gas_kWh/1000),0,TER_ander_gas_kWh/1000)*0.902</f>
        <v>6816.4083071928953</v>
      </c>
      <c r="E10" s="33">
        <f>$C$30*'E Balans VL '!I14/100/3.6*1000000</f>
        <v>20.136771232435141</v>
      </c>
      <c r="F10" s="33">
        <f>$C$30*('E Balans VL '!L14+'E Balans VL '!N14)/100/3.6*1000000</f>
        <v>1312.4212096758235</v>
      </c>
      <c r="G10" s="34"/>
      <c r="H10" s="33"/>
      <c r="I10" s="33"/>
      <c r="J10" s="33">
        <f>$C$30*('E Balans VL '!D14+'E Balans VL '!E14)/100/3.6*1000000</f>
        <v>0</v>
      </c>
      <c r="K10" s="33"/>
      <c r="L10" s="33"/>
      <c r="M10" s="33"/>
      <c r="N10" s="33">
        <f>$C$30*'E Balans VL '!Y14/100/3.6*1000000</f>
        <v>4138.9653422209158</v>
      </c>
      <c r="O10" s="33"/>
      <c r="P10" s="33"/>
      <c r="R10" s="32"/>
    </row>
    <row r="11" spans="1:18">
      <c r="A11" s="32" t="s">
        <v>54</v>
      </c>
      <c r="B11" s="37">
        <f t="shared" si="0"/>
        <v>1786.3019999999999</v>
      </c>
      <c r="C11" s="33"/>
      <c r="D11" s="37">
        <f>IF(ISERROR(TER_onderwijs_gas_kWh/1000),0,TER_onderwijs_gas_kWh/1000)*0.902</f>
        <v>4444.5332087571469</v>
      </c>
      <c r="E11" s="33">
        <f>$C$31*'E Balans VL '!I11/100/3.6*1000000</f>
        <v>1.2348155588280518</v>
      </c>
      <c r="F11" s="33">
        <f>$C$31*('E Balans VL '!L11+'E Balans VL '!N11)/100/3.6*1000000</f>
        <v>467.60197504762283</v>
      </c>
      <c r="G11" s="34"/>
      <c r="H11" s="33"/>
      <c r="I11" s="33"/>
      <c r="J11" s="33">
        <f>$C$31*('E Balans VL '!D11+'E Balans VL '!E11)/100/3.6*1000000</f>
        <v>0</v>
      </c>
      <c r="K11" s="33"/>
      <c r="L11" s="33"/>
      <c r="M11" s="33"/>
      <c r="N11" s="33">
        <f>$C$31*'E Balans VL '!Y11/100/3.6*1000000</f>
        <v>1.7781114956642325</v>
      </c>
      <c r="O11" s="33"/>
      <c r="P11" s="33"/>
      <c r="R11" s="32"/>
    </row>
    <row r="12" spans="1:18">
      <c r="A12" s="32" t="s">
        <v>259</v>
      </c>
      <c r="B12" s="37">
        <f t="shared" si="0"/>
        <v>2301.8449999999998</v>
      </c>
      <c r="C12" s="33"/>
      <c r="D12" s="37">
        <f>IF(ISERROR(TER_rest_gas_kWh/1000),0,TER_rest_gas_kWh/1000)*0.902</f>
        <v>2971.2005037908657</v>
      </c>
      <c r="E12" s="33">
        <f>$C$32*'E Balans VL '!I8/100/3.6*1000000</f>
        <v>20.811326702996812</v>
      </c>
      <c r="F12" s="33">
        <f>$C$32*('E Balans VL '!L8+'E Balans VL '!N8)/100/3.6*1000000</f>
        <v>339.31048014559394</v>
      </c>
      <c r="G12" s="34"/>
      <c r="H12" s="33"/>
      <c r="I12" s="33"/>
      <c r="J12" s="33">
        <f>$C$32*('E Balans VL '!D8+'E Balans VL '!E8)/100/3.6*1000000</f>
        <v>0</v>
      </c>
      <c r="K12" s="33"/>
      <c r="L12" s="33"/>
      <c r="M12" s="33"/>
      <c r="N12" s="33">
        <f>$C$32*'E Balans VL '!Y8/100/3.6*1000000</f>
        <v>196.31658762397703</v>
      </c>
      <c r="O12" s="33"/>
      <c r="P12" s="33"/>
      <c r="R12" s="32"/>
    </row>
    <row r="13" spans="1:18">
      <c r="A13" s="16" t="s">
        <v>493</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50886.420000000006</v>
      </c>
      <c r="C16" s="21">
        <f t="shared" ca="1" si="1"/>
        <v>0</v>
      </c>
      <c r="D16" s="21">
        <f t="shared" ca="1" si="1"/>
        <v>95284.527133084877</v>
      </c>
      <c r="E16" s="21">
        <f t="shared" si="1"/>
        <v>520.59069131425213</v>
      </c>
      <c r="F16" s="21">
        <f t="shared" ca="1" si="1"/>
        <v>7665.256540186796</v>
      </c>
      <c r="G16" s="21">
        <f t="shared" si="1"/>
        <v>0</v>
      </c>
      <c r="H16" s="21">
        <f t="shared" si="1"/>
        <v>0</v>
      </c>
      <c r="I16" s="21">
        <f t="shared" si="1"/>
        <v>0</v>
      </c>
      <c r="J16" s="21">
        <f t="shared" si="1"/>
        <v>0</v>
      </c>
      <c r="K16" s="21">
        <f t="shared" si="1"/>
        <v>0</v>
      </c>
      <c r="L16" s="21">
        <f t="shared" ca="1" si="1"/>
        <v>0</v>
      </c>
      <c r="M16" s="21">
        <f t="shared" si="1"/>
        <v>0</v>
      </c>
      <c r="N16" s="21">
        <f t="shared" ca="1" si="1"/>
        <v>4646.5841028306795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0.20847962733083664</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10608.781877800433</v>
      </c>
      <c r="C20" s="23">
        <f t="shared" ref="C20:P20" ca="1" si="2">C16*C18</f>
        <v>0</v>
      </c>
      <c r="D20" s="23">
        <f t="shared" ca="1" si="2"/>
        <v>19247.474480883146</v>
      </c>
      <c r="E20" s="23">
        <f t="shared" si="2"/>
        <v>118.17408692833524</v>
      </c>
      <c r="F20" s="23">
        <f t="shared" ca="1" si="2"/>
        <v>2046.6234962298747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9890.2150000000001</v>
      </c>
      <c r="C26" s="39">
        <f>IF(ISERROR(B26*3.6/1000000/'E Balans VL '!Z12*100),0,B26*3.6/1000000/'E Balans VL '!Z12*100)</f>
        <v>0.21725000670853264</v>
      </c>
      <c r="D26" s="237" t="s">
        <v>691</v>
      </c>
      <c r="F26" s="6"/>
    </row>
    <row r="27" spans="1:18">
      <c r="A27" s="231" t="s">
        <v>52</v>
      </c>
      <c r="B27" s="33">
        <f>IF(ISERROR(TER_horeca_ele_kWh/1000),0,TER_horeca_ele_kWh/1000)</f>
        <v>5225.5529999999999</v>
      </c>
      <c r="C27" s="39">
        <f>IF(ISERROR(B27*3.6/1000000/'E Balans VL '!Z9*100),0,B27*3.6/1000000/'E Balans VL '!Z9*100)</f>
        <v>0.41992527247753048</v>
      </c>
      <c r="D27" s="237" t="s">
        <v>691</v>
      </c>
      <c r="F27" s="6"/>
    </row>
    <row r="28" spans="1:18">
      <c r="A28" s="171" t="s">
        <v>51</v>
      </c>
      <c r="B28" s="33">
        <f>IF(ISERROR(TER_handel_ele_kWh/1000),0,TER_handel_ele_kWh/1000)</f>
        <v>21102.2</v>
      </c>
      <c r="C28" s="39">
        <f>IF(ISERROR(B28*3.6/1000000/'E Balans VL '!Z13*100),0,B28*3.6/1000000/'E Balans VL '!Z13*100)</f>
        <v>0.62397731169354198</v>
      </c>
      <c r="D28" s="237" t="s">
        <v>691</v>
      </c>
      <c r="F28" s="6"/>
    </row>
    <row r="29" spans="1:18">
      <c r="A29" s="231" t="s">
        <v>50</v>
      </c>
      <c r="B29" s="33">
        <f>IF(ISERROR(TER_gezond_ele_kWh/1000),0,TER_gezond_ele_kWh/1000)</f>
        <v>4704.4769999999999</v>
      </c>
      <c r="C29" s="39">
        <f>IF(ISERROR(B29*3.6/1000000/'E Balans VL '!Z10*100),0,B29*3.6/1000000/'E Balans VL '!Z10*100)</f>
        <v>0.53007309901048816</v>
      </c>
      <c r="D29" s="237" t="s">
        <v>691</v>
      </c>
      <c r="F29" s="6"/>
    </row>
    <row r="30" spans="1:18">
      <c r="A30" s="231" t="s">
        <v>49</v>
      </c>
      <c r="B30" s="33">
        <f>IF(ISERROR(TER_ander_ele_kWh/1000),0,TER_ander_ele_kWh/1000)</f>
        <v>5875.8280000000004</v>
      </c>
      <c r="C30" s="39">
        <f>IF(ISERROR(B30*3.6/1000000/'E Balans VL '!Z14*100),0,B30*3.6/1000000/'E Balans VL '!Z14*100)</f>
        <v>0.44437882736573459</v>
      </c>
      <c r="D30" s="237" t="s">
        <v>691</v>
      </c>
      <c r="F30" s="6"/>
    </row>
    <row r="31" spans="1:18">
      <c r="A31" s="231" t="s">
        <v>54</v>
      </c>
      <c r="B31" s="33">
        <f>IF(ISERROR(TER_onderwijs_ele_kWh/1000),0,TER_onderwijs_ele_kWh/1000)</f>
        <v>1786.3019999999999</v>
      </c>
      <c r="C31" s="39">
        <f>IF(ISERROR(B31*3.6/1000000/'E Balans VL '!Z11*100),0,B31*3.6/1000000/'E Balans VL '!Z11*100)</f>
        <v>0.37079482797927532</v>
      </c>
      <c r="D31" s="237" t="s">
        <v>691</v>
      </c>
    </row>
    <row r="32" spans="1:18">
      <c r="A32" s="231" t="s">
        <v>259</v>
      </c>
      <c r="B32" s="33">
        <f>IF(ISERROR(TER_rest_ele_kWh/1000),0,TER_rest_ele_kWh/1000)</f>
        <v>2301.8449999999998</v>
      </c>
      <c r="C32" s="39">
        <f>IF(ISERROR(B32*3.6/1000000/'E Balans VL '!Z8*100),0,B32*3.6/1000000/'E Balans VL '!Z8*100)</f>
        <v>1.9391689995443613E-2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158434.829</v>
      </c>
      <c r="C5" s="17">
        <f>IF(ISERROR('Eigen informatie GS &amp; warmtenet'!B59),0,'Eigen informatie GS &amp; warmtenet'!B59)</f>
        <v>0</v>
      </c>
      <c r="D5" s="30">
        <f>SUM(D6:D15)</f>
        <v>186051.67863067432</v>
      </c>
      <c r="E5" s="17">
        <f>SUM(E6:E15)</f>
        <v>9247.5485488733284</v>
      </c>
      <c r="F5" s="17">
        <f>SUM(F6:F15)</f>
        <v>52782.827390924416</v>
      </c>
      <c r="G5" s="18"/>
      <c r="H5" s="17"/>
      <c r="I5" s="17"/>
      <c r="J5" s="17">
        <f>SUM(J6:J15)</f>
        <v>686.42087478953158</v>
      </c>
      <c r="K5" s="17"/>
      <c r="L5" s="17"/>
      <c r="M5" s="17"/>
      <c r="N5" s="17">
        <f>SUM(N6:N15)</f>
        <v>11815.43965809954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3313.8</v>
      </c>
      <c r="C8" s="33"/>
      <c r="D8" s="37">
        <f>IF( ISERROR(IND_metaal_Gas_kWH/1000),0,IND_metaal_Gas_kWH/1000)*0.902</f>
        <v>957.4905103510481</v>
      </c>
      <c r="E8" s="33">
        <f>C30*'E Balans VL '!I18/100/3.6*1000000</f>
        <v>82.932815948472069</v>
      </c>
      <c r="F8" s="33">
        <f>C30*'E Balans VL '!L18/100/3.6*1000000+C30*'E Balans VL '!N18/100/3.6*1000000</f>
        <v>1038.5614036889228</v>
      </c>
      <c r="G8" s="34"/>
      <c r="H8" s="33"/>
      <c r="I8" s="33"/>
      <c r="J8" s="40">
        <f>C30*'E Balans VL '!D18/100/3.6*1000000+C30*'E Balans VL '!E18/100/3.6*1000000</f>
        <v>0</v>
      </c>
      <c r="K8" s="33"/>
      <c r="L8" s="33"/>
      <c r="M8" s="33"/>
      <c r="N8" s="33">
        <f>C30*'E Balans VL '!Y18/100/3.6*1000000</f>
        <v>83.251256060931098</v>
      </c>
      <c r="O8" s="33"/>
      <c r="P8" s="33"/>
      <c r="R8" s="32"/>
    </row>
    <row r="9" spans="1:18">
      <c r="A9" s="6" t="s">
        <v>32</v>
      </c>
      <c r="B9" s="37">
        <f t="shared" si="0"/>
        <v>11894.448</v>
      </c>
      <c r="C9" s="33"/>
      <c r="D9" s="37">
        <f>IF( ISERROR(IND_andere_gas_kWh/1000),0,IND_andere_gas_kWh/1000)*0.902</f>
        <v>7186.0330580773289</v>
      </c>
      <c r="E9" s="33">
        <f>C31*'E Balans VL '!I19/100/3.6*1000000</f>
        <v>3270.4853485540179</v>
      </c>
      <c r="F9" s="33">
        <f>C31*'E Balans VL '!L19/100/3.6*1000000+C31*'E Balans VL '!N19/100/3.6*1000000</f>
        <v>9374.8948065581644</v>
      </c>
      <c r="G9" s="34"/>
      <c r="H9" s="33"/>
      <c r="I9" s="33"/>
      <c r="J9" s="40">
        <f>C31*'E Balans VL '!D19/100/3.6*1000000+C31*'E Balans VL '!E19/100/3.6*1000000</f>
        <v>0</v>
      </c>
      <c r="K9" s="33"/>
      <c r="L9" s="33"/>
      <c r="M9" s="33"/>
      <c r="N9" s="33">
        <f>C31*'E Balans VL '!Y19/100/3.6*1000000</f>
        <v>958.2242262315068</v>
      </c>
      <c r="O9" s="33"/>
      <c r="P9" s="33"/>
      <c r="R9" s="32"/>
    </row>
    <row r="10" spans="1:18">
      <c r="A10" s="6" t="s">
        <v>40</v>
      </c>
      <c r="B10" s="37">
        <f t="shared" si="0"/>
        <v>8355.4159999999993</v>
      </c>
      <c r="C10" s="33"/>
      <c r="D10" s="37">
        <f>IF( ISERROR(IND_voed_gas_kWh/1000),0,IND_voed_gas_kWh/1000)*0.902</f>
        <v>17007.768804753341</v>
      </c>
      <c r="E10" s="33">
        <f>C32*'E Balans VL '!I20/100/3.6*1000000</f>
        <v>85.17886309506062</v>
      </c>
      <c r="F10" s="33">
        <f>C32*'E Balans VL '!L20/100/3.6*1000000+C32*'E Balans VL '!N20/100/3.6*1000000</f>
        <v>15783.328565917442</v>
      </c>
      <c r="G10" s="34"/>
      <c r="H10" s="33"/>
      <c r="I10" s="33"/>
      <c r="J10" s="40">
        <f>C32*'E Balans VL '!D20/100/3.6*1000000+C32*'E Balans VL '!E20/100/3.6*1000000</f>
        <v>199.97244392492672</v>
      </c>
      <c r="K10" s="33"/>
      <c r="L10" s="33"/>
      <c r="M10" s="33"/>
      <c r="N10" s="33">
        <f>C32*'E Balans VL '!Y20/100/3.6*1000000</f>
        <v>4404.2666579071038</v>
      </c>
      <c r="O10" s="33"/>
      <c r="P10" s="33"/>
      <c r="R10" s="32"/>
    </row>
    <row r="11" spans="1:18">
      <c r="A11" s="6" t="s">
        <v>39</v>
      </c>
      <c r="B11" s="37">
        <f t="shared" si="0"/>
        <v>12083.986999999999</v>
      </c>
      <c r="C11" s="33"/>
      <c r="D11" s="37">
        <f>IF( ISERROR(IND_textiel_gas_kWh/1000),0,IND_textiel_gas_kWh/1000)*0.902</f>
        <v>0</v>
      </c>
      <c r="E11" s="33">
        <f>C33*'E Balans VL '!I21/100/3.6*1000000</f>
        <v>32.028477247939641</v>
      </c>
      <c r="F11" s="33">
        <f>C33*'E Balans VL '!L21/100/3.6*1000000+C33*'E Balans VL '!N21/100/3.6*1000000</f>
        <v>539.68332498080053</v>
      </c>
      <c r="G11" s="34"/>
      <c r="H11" s="33"/>
      <c r="I11" s="33"/>
      <c r="J11" s="40">
        <f>C33*'E Balans VL '!D21/100/3.6*1000000+C33*'E Balans VL '!E21/100/3.6*1000000</f>
        <v>0</v>
      </c>
      <c r="K11" s="33"/>
      <c r="L11" s="33"/>
      <c r="M11" s="33"/>
      <c r="N11" s="33">
        <f>C33*'E Balans VL '!Y21/100/3.6*1000000</f>
        <v>113.88293933222765</v>
      </c>
      <c r="O11" s="33"/>
      <c r="P11" s="33"/>
      <c r="R11" s="32"/>
    </row>
    <row r="12" spans="1:18">
      <c r="A12" s="6" t="s">
        <v>36</v>
      </c>
      <c r="B12" s="37">
        <f t="shared" si="0"/>
        <v>8346.5630000000001</v>
      </c>
      <c r="C12" s="33"/>
      <c r="D12" s="37">
        <f>IF( ISERROR(IND_min_gas_kWh/1000),0,IND_min_gas_kWh/1000)*0.902</f>
        <v>0</v>
      </c>
      <c r="E12" s="33">
        <f>C34*'E Balans VL '!I22/100/3.6*1000000</f>
        <v>25.277963734747566</v>
      </c>
      <c r="F12" s="33">
        <f>C34*'E Balans VL '!L22/100/3.6*1000000+C34*'E Balans VL '!N22/100/3.6*1000000</f>
        <v>260.83726959156377</v>
      </c>
      <c r="G12" s="34"/>
      <c r="H12" s="33"/>
      <c r="I12" s="33"/>
      <c r="J12" s="40">
        <f>C34*'E Balans VL '!D22/100/3.6*1000000+C34*'E Balans VL '!E22/100/3.6*1000000</f>
        <v>12.376100087489135</v>
      </c>
      <c r="K12" s="33"/>
      <c r="L12" s="33"/>
      <c r="M12" s="33"/>
      <c r="N12" s="33">
        <f>C34*'E Balans VL '!Y22/100/3.6*1000000</f>
        <v>0</v>
      </c>
      <c r="O12" s="33"/>
      <c r="P12" s="33"/>
      <c r="R12" s="32"/>
    </row>
    <row r="13" spans="1:18">
      <c r="A13" s="6" t="s">
        <v>38</v>
      </c>
      <c r="B13" s="37">
        <f t="shared" si="0"/>
        <v>1440.615</v>
      </c>
      <c r="C13" s="33"/>
      <c r="D13" s="37">
        <f>IF( ISERROR(IND_papier_gas_kWh/1000),0,IND_papier_gas_kWh/1000)*0.902</f>
        <v>379.13717047233638</v>
      </c>
      <c r="E13" s="33">
        <f>C35*'E Balans VL '!I23/100/3.6*1000000</f>
        <v>2.9836109041710213</v>
      </c>
      <c r="F13" s="33">
        <f>C35*'E Balans VL '!L23/100/3.6*1000000+C35*'E Balans VL '!N23/100/3.6*1000000</f>
        <v>28.570483883088926</v>
      </c>
      <c r="G13" s="34"/>
      <c r="H13" s="33"/>
      <c r="I13" s="33"/>
      <c r="J13" s="40">
        <f>C35*'E Balans VL '!D23/100/3.6*1000000+C35*'E Balans VL '!E23/100/3.6*1000000</f>
        <v>0</v>
      </c>
      <c r="K13" s="33"/>
      <c r="L13" s="33"/>
      <c r="M13" s="33"/>
      <c r="N13" s="33">
        <f>C35*'E Balans VL '!Y23/100/3.6*1000000</f>
        <v>99.913931906039863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113000</v>
      </c>
      <c r="C15" s="33"/>
      <c r="D15" s="37">
        <f>IF( ISERROR(IND_rest_gas_kWh/1000),0,IND_rest_gas_kWh/1000)*0.902</f>
        <v>160521.24908702026</v>
      </c>
      <c r="E15" s="33">
        <f>C37*'E Balans VL '!I15/100/3.6*1000000</f>
        <v>5748.6614693889187</v>
      </c>
      <c r="F15" s="33">
        <f>C37*'E Balans VL '!L15/100/3.6*1000000+C37*'E Balans VL '!N15/100/3.6*1000000</f>
        <v>25756.95153630443</v>
      </c>
      <c r="G15" s="34"/>
      <c r="H15" s="33"/>
      <c r="I15" s="33"/>
      <c r="J15" s="40">
        <f>C37*'E Balans VL '!D15/100/3.6*1000000+C37*'E Balans VL '!E15/100/3.6*1000000</f>
        <v>474.07233077711578</v>
      </c>
      <c r="K15" s="33"/>
      <c r="L15" s="33"/>
      <c r="M15" s="33"/>
      <c r="N15" s="33">
        <f>C37*'E Balans VL '!Y15/100/3.6*1000000</f>
        <v>6155.9006466617311</v>
      </c>
      <c r="O15" s="33"/>
      <c r="P15" s="33"/>
      <c r="R15" s="32"/>
    </row>
    <row r="16" spans="1:18">
      <c r="A16" s="16" t="s">
        <v>493</v>
      </c>
      <c r="B16" s="247">
        <f>'lokale energieproductie'!N40+'lokale energieproductie'!N33</f>
        <v>3937.5</v>
      </c>
      <c r="C16" s="247">
        <f>'lokale energieproductie'!O40+'lokale energieproductie'!O33</f>
        <v>5625</v>
      </c>
      <c r="D16" s="308">
        <f>('lokale energieproductie'!P33+'lokale energieproductie'!P40)*(-1)</f>
        <v>-11250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162372.329</v>
      </c>
      <c r="C18" s="21">
        <f>C5+C16</f>
        <v>5625</v>
      </c>
      <c r="D18" s="21">
        <f>MAX((D5+D16),0)</f>
        <v>174801.67863067432</v>
      </c>
      <c r="E18" s="21">
        <f>MAX((E5+E16),0)</f>
        <v>9247.5485488733284</v>
      </c>
      <c r="F18" s="21">
        <f>MAX((F5+F16),0)</f>
        <v>52782.827390924416</v>
      </c>
      <c r="G18" s="21"/>
      <c r="H18" s="21"/>
      <c r="I18" s="21"/>
      <c r="J18" s="21">
        <f>MAX((J5+J16),0)</f>
        <v>686.42087478953158</v>
      </c>
      <c r="K18" s="21"/>
      <c r="L18" s="21">
        <f>MAX((L5+L16),0)</f>
        <v>0</v>
      </c>
      <c r="M18" s="21"/>
      <c r="N18" s="21">
        <f>MAX((N5+N16),0)</f>
        <v>11815.43965809954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0.20847962733083664</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33851.322638760001</v>
      </c>
      <c r="C22" s="23">
        <f ca="1">C18*C20</f>
        <v>1336.3501804094599</v>
      </c>
      <c r="D22" s="23">
        <f>D18*D20</f>
        <v>35309.939083396217</v>
      </c>
      <c r="E22" s="23">
        <f>E18*E20</f>
        <v>2099.1935205942455</v>
      </c>
      <c r="F22" s="23">
        <f>F18*F20</f>
        <v>14093.014913376819</v>
      </c>
      <c r="G22" s="23"/>
      <c r="H22" s="23"/>
      <c r="I22" s="23"/>
      <c r="J22" s="23">
        <f>J18*J20</f>
        <v>242.99298967549416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3313.8</v>
      </c>
      <c r="C30" s="39">
        <f>IF(ISERROR(B30*3.6/1000000/'E Balans VL '!Z18*100),0,B30*3.6/1000000/'E Balans VL '!Z18*100)</f>
        <v>0.46382156639500627</v>
      </c>
      <c r="D30" s="237" t="s">
        <v>691</v>
      </c>
    </row>
    <row r="31" spans="1:18">
      <c r="A31" s="6" t="s">
        <v>32</v>
      </c>
      <c r="B31" s="37">
        <f>IF( ISERROR(IND_ander_ele_kWh/1000),0,IND_ander_ele_kWh/1000)</f>
        <v>11894.448</v>
      </c>
      <c r="C31" s="39">
        <f>IF(ISERROR(B31*3.6/1000000/'E Balans VL '!Z19*100),0,B31*3.6/1000000/'E Balans VL '!Z19*100)</f>
        <v>0.52061805940639438</v>
      </c>
      <c r="D31" s="237" t="s">
        <v>691</v>
      </c>
    </row>
    <row r="32" spans="1:18">
      <c r="A32" s="171" t="s">
        <v>40</v>
      </c>
      <c r="B32" s="37">
        <f>IF( ISERROR(IND_voed_ele_kWh/1000),0,IND_voed_ele_kWh/1000)</f>
        <v>8355.4159999999993</v>
      </c>
      <c r="C32" s="39">
        <f>IF(ISERROR(B32*3.6/1000000/'E Balans VL '!Z20*100),0,B32*3.6/1000000/'E Balans VL '!Z20*100)</f>
        <v>2.0685235319209649</v>
      </c>
      <c r="D32" s="237" t="s">
        <v>691</v>
      </c>
    </row>
    <row r="33" spans="1:5">
      <c r="A33" s="171" t="s">
        <v>39</v>
      </c>
      <c r="B33" s="37">
        <f>IF( ISERROR(IND_textiel_ele_kWh/1000),0,IND_textiel_ele_kWh/1000)</f>
        <v>12083.986999999999</v>
      </c>
      <c r="C33" s="39">
        <f>IF(ISERROR(B33*3.6/1000000/'E Balans VL '!Z21*100),0,B33*3.6/1000000/'E Balans VL '!Z21*100)</f>
        <v>1.3616524735078981</v>
      </c>
      <c r="D33" s="237" t="s">
        <v>691</v>
      </c>
    </row>
    <row r="34" spans="1:5">
      <c r="A34" s="171" t="s">
        <v>36</v>
      </c>
      <c r="B34" s="37">
        <f>IF( ISERROR(IND_min_ele_kWh/1000),0,IND_min_ele_kWh/1000)</f>
        <v>8346.5630000000001</v>
      </c>
      <c r="C34" s="39">
        <f>IF(ISERROR(B34*3.6/1000000/'E Balans VL '!Z22*100),0,B34*3.6/1000000/'E Balans VL '!Z22*100)</f>
        <v>0.23684140579307411</v>
      </c>
      <c r="D34" s="237" t="s">
        <v>691</v>
      </c>
    </row>
    <row r="35" spans="1:5">
      <c r="A35" s="171" t="s">
        <v>38</v>
      </c>
      <c r="B35" s="37">
        <f>IF( ISERROR(IND_papier_ele_kWh/1000),0,IND_papier_ele_kWh/1000)</f>
        <v>1440.615</v>
      </c>
      <c r="C35" s="39">
        <f>IF(ISERROR(B35*3.6/1000000/'E Balans VL '!Z22*100),0,B35*3.6/1000000/'E Balans VL '!Z22*100)</f>
        <v>4.08787763066773E-2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113000</v>
      </c>
      <c r="C37" s="39">
        <f>IF(ISERROR(B37*3.6/1000000/'E Balans VL '!Z15*100),0,B37*3.6/1000000/'E Balans VL '!Z15*100)</f>
        <v>0.83787565358132832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1941.2584999999999</v>
      </c>
      <c r="C5" s="17">
        <f>'Eigen informatie GS &amp; warmtenet'!B60</f>
        <v>0</v>
      </c>
      <c r="D5" s="30">
        <f>IF(ISERROR(SUM(LB_lb_gas_kWh,LB_rest_gas_kWh)/1000),0,SUM(LB_lb_gas_kWh,LB_rest_gas_kWh)/1000)*0.902</f>
        <v>614.51172104206739</v>
      </c>
      <c r="E5" s="17">
        <f>B17*'E Balans VL '!I25/3.6*1000000/100</f>
        <v>17.980749300799108</v>
      </c>
      <c r="F5" s="17">
        <f>B17*('E Balans VL '!L25/3.6*1000000+'E Balans VL '!N25/3.6*1000000)/100</f>
        <v>4925.3426238647444</v>
      </c>
      <c r="G5" s="18"/>
      <c r="H5" s="17"/>
      <c r="I5" s="17"/>
      <c r="J5" s="17">
        <f>('E Balans VL '!D25+'E Balans VL '!E25)/3.6*1000000*landbouw!B17/100</f>
        <v>297.61659255808996</v>
      </c>
      <c r="K5" s="17"/>
      <c r="L5" s="17">
        <f>L6*(-1)</f>
        <v>0</v>
      </c>
      <c r="M5" s="17"/>
      <c r="N5" s="17">
        <f>N6*(-1)</f>
        <v>0</v>
      </c>
      <c r="O5" s="17"/>
      <c r="P5" s="17"/>
      <c r="R5" s="32"/>
    </row>
    <row r="6" spans="1:18">
      <c r="A6" s="16" t="s">
        <v>493</v>
      </c>
      <c r="B6" s="17" t="s">
        <v>210</v>
      </c>
      <c r="C6" s="17">
        <f>'lokale energieproductie'!O42+'lokale energieproductie'!O35</f>
        <v>79.071428571428584</v>
      </c>
      <c r="D6" s="308">
        <f>('lokale energieproductie'!P35+'lokale energieproductie'!P42)*(-1)</f>
        <v>-128.14285714285717</v>
      </c>
      <c r="E6" s="248"/>
      <c r="F6" s="308">
        <f>('lokale energieproductie'!S35+'lokale energieproductie'!S871)*(-1)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1941.2584999999999</v>
      </c>
      <c r="C8" s="21">
        <f>C5+C6</f>
        <v>79.071428571428584</v>
      </c>
      <c r="D8" s="21">
        <f>MAX((D5+D6),0)</f>
        <v>486.36886389921023</v>
      </c>
      <c r="E8" s="21">
        <f>MAX((E5+E6),0)</f>
        <v>17.980749300799108</v>
      </c>
      <c r="F8" s="21">
        <f>MAX((F5+F6),0)</f>
        <v>4925.3426238647444</v>
      </c>
      <c r="G8" s="21"/>
      <c r="H8" s="21"/>
      <c r="I8" s="21"/>
      <c r="J8" s="21">
        <f>MAX((J5+J6),0)</f>
        <v>297.61659255808996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0.20847962733083664</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404.71284863281892</v>
      </c>
      <c r="C12" s="23">
        <f ca="1">C8*C10</f>
        <v>18.78526539318441</v>
      </c>
      <c r="D12" s="23">
        <f>D8*D10</f>
        <v>98.246510507640465</v>
      </c>
      <c r="E12" s="23">
        <f>E8*E10</f>
        <v>4.0816300912813972</v>
      </c>
      <c r="F12" s="23">
        <f>F8*F10</f>
        <v>1315.0664805718868</v>
      </c>
      <c r="G12" s="23"/>
      <c r="H12" s="23"/>
      <c r="I12" s="23"/>
      <c r="J12" s="23">
        <f>J8*J10</f>
        <v>105.35627376556384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0.27600579690502203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375.77369288907931</v>
      </c>
      <c r="C26" s="247">
        <f>B26*'GWP N2O_CH4'!B5</f>
        <v>7891.247550670666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98.54216239701708</v>
      </c>
      <c r="C27" s="247">
        <f>B27*'GWP N2O_CH4'!B5</f>
        <v>2069.3854103373587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5.0920371309053643</v>
      </c>
      <c r="C28" s="247">
        <f>B28*'GWP N2O_CH4'!B4</f>
        <v>1578.5315105806628</v>
      </c>
      <c r="D28" s="50"/>
    </row>
    <row r="29" spans="1:4">
      <c r="A29" s="41" t="s">
        <v>276</v>
      </c>
      <c r="B29" s="247">
        <f>B34*'ha_N2O bodem landbouw'!B4</f>
        <v>25.055894353625796</v>
      </c>
      <c r="C29" s="247">
        <f>B29*'GWP N2O_CH4'!B4</f>
        <v>7767.327249623997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5.6195956860509311E-3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7.8353620654436496E-5</v>
      </c>
      <c r="C5" s="438" t="s">
        <v>210</v>
      </c>
      <c r="D5" s="423">
        <f>SUM(D6:D11)</f>
        <v>1.5369757827109548E-4</v>
      </c>
      <c r="E5" s="423">
        <f>SUM(E6:E11)</f>
        <v>1.4674394922329838E-3</v>
      </c>
      <c r="F5" s="436" t="s">
        <v>210</v>
      </c>
      <c r="G5" s="423">
        <f>SUM(G6:G11)</f>
        <v>0.50737671083256164</v>
      </c>
      <c r="H5" s="423">
        <f>SUM(H6:H11)</f>
        <v>9.3265939768088724E-2</v>
      </c>
      <c r="I5" s="438" t="s">
        <v>210</v>
      </c>
      <c r="J5" s="438" t="s">
        <v>210</v>
      </c>
      <c r="K5" s="438" t="s">
        <v>210</v>
      </c>
      <c r="L5" s="438" t="s">
        <v>210</v>
      </c>
      <c r="M5" s="423">
        <f>SUM(M6:M11)</f>
        <v>3.2261134773460202E-2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6.47005155306733E-5</v>
      </c>
      <c r="C6" s="424"/>
      <c r="D6" s="866">
        <f>vkm_GW_PW*SUMIFS(TableVerdeelsleutelVkm[CNG],TableVerdeelsleutelVkm[Voertuigtype],"Lichte voertuigen")*SUMIFS(TableECFTransport[EnergieConsumptieFactor (PJ per km)],TableECFTransport[Index],CONCATENATE($A6,"_CNG_CNG"))</f>
        <v>1.1290139592418423E-4</v>
      </c>
      <c r="E6" s="866">
        <f>vkm_GW_PW*SUMIFS(TableVerdeelsleutelVkm[LPG],TableVerdeelsleutelVkm[Voertuigtype],"Lichte voertuigen")*SUMIFS(TableECFTransport[EnergieConsumptieFactor (PJ per km)],TableECFTransport[Index],CONCATENATE($A6,"_LPG_LPG"))</f>
        <v>1.0935055187169735E-3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0.25699261277470892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6.9140164248069028E-2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1.7008673174160598E-2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0.16036147961113661</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3.1099188156790437E-6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9.2973960492779301E-3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1.3653105123763199E-5</v>
      </c>
      <c r="C8" s="424"/>
      <c r="D8" s="426">
        <f>vkm_NGW_PW*SUMIFS(TableVerdeelsleutelVkm[CNG],TableVerdeelsleutelVkm[Voertuigtype],"Lichte voertuigen")*SUMIFS(TableECFTransport[EnergieConsumptieFactor (PJ per km)],TableECFTransport[Index],CONCATENATE($A8,"_CNG_CNG"))</f>
        <v>4.0796182346911239E-5</v>
      </c>
      <c r="E8" s="426">
        <f>vkm_NGW_PW*SUMIFS(TableVerdeelsleutelVkm[LPG],TableVerdeelsleutelVkm[Voertuigtype],"Lichte voertuigen")*SUMIFS(TableECFTransport[EnergieConsumptieFactor (PJ per km)],TableECFTransport[Index],CONCATENATE($A8,"_LPG_LPG"))</f>
        <v>3.7393397351601033E-4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8.2490509063613146E-2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2.4122484666484024E-2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5.5183698128420666E-3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7.532109383102897E-3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1.8093471999347514E-7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4.3669573717961132E-4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21.764894626232362</v>
      </c>
      <c r="C14" s="21"/>
      <c r="D14" s="21">
        <f t="shared" ref="D14:M14" si="0">((D5)*10^9/3600)+D12</f>
        <v>42.693771741970963</v>
      </c>
      <c r="E14" s="21">
        <f t="shared" si="0"/>
        <v>407.6220811758289</v>
      </c>
      <c r="F14" s="21"/>
      <c r="G14" s="21">
        <f t="shared" si="0"/>
        <v>140937.9752312671</v>
      </c>
      <c r="H14" s="21">
        <f t="shared" si="0"/>
        <v>25907.205491135759</v>
      </c>
      <c r="I14" s="21"/>
      <c r="J14" s="21"/>
      <c r="K14" s="21"/>
      <c r="L14" s="21"/>
      <c r="M14" s="21">
        <f t="shared" si="0"/>
        <v>8961.4263259611671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0.20847962733083664</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4.5375371205718515</v>
      </c>
      <c r="C18" s="23"/>
      <c r="D18" s="23">
        <f t="shared" ref="D18:M18" si="1">D14*D16</f>
        <v>8.6241418918781356</v>
      </c>
      <c r="E18" s="23">
        <f t="shared" si="1"/>
        <v>92.530212426913167</v>
      </c>
      <c r="F18" s="23"/>
      <c r="G18" s="23">
        <f t="shared" si="1"/>
        <v>37630.439386748316</v>
      </c>
      <c r="H18" s="23">
        <f t="shared" si="1"/>
        <v>6450.894167292804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8.7664510592587765E-3</v>
      </c>
      <c r="H50" s="319">
        <f t="shared" si="2"/>
        <v>0</v>
      </c>
      <c r="I50" s="319">
        <f t="shared" si="2"/>
        <v>0</v>
      </c>
      <c r="J50" s="319">
        <f t="shared" si="2"/>
        <v>0</v>
      </c>
      <c r="K50" s="319">
        <f t="shared" si="2"/>
        <v>0</v>
      </c>
      <c r="L50" s="319">
        <f t="shared" si="2"/>
        <v>0</v>
      </c>
      <c r="M50" s="319">
        <f t="shared" si="2"/>
        <v>5.0106366003098109E-4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8.7664510592587765E-3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5.0106366003098109E-4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2435.125294238549</v>
      </c>
      <c r="H54" s="21">
        <f t="shared" si="3"/>
        <v>0</v>
      </c>
      <c r="I54" s="21">
        <f t="shared" si="3"/>
        <v>0</v>
      </c>
      <c r="J54" s="21">
        <f t="shared" si="3"/>
        <v>0</v>
      </c>
      <c r="K54" s="21">
        <f t="shared" si="3"/>
        <v>0</v>
      </c>
      <c r="L54" s="21">
        <f t="shared" si="3"/>
        <v>0</v>
      </c>
      <c r="M54" s="21">
        <f t="shared" si="3"/>
        <v>139.18435000860586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0.20847962733083664</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650.17845356169266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16073.247556140184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N32</f>
        <v>3970.35</v>
      </c>
      <c r="C8" s="545">
        <f>B51</f>
        <v>4669.5515412881832</v>
      </c>
      <c r="D8" s="1022"/>
      <c r="E8" s="1022">
        <f>E51</f>
        <v>0</v>
      </c>
      <c r="F8" s="1023"/>
      <c r="G8" s="546"/>
      <c r="H8" s="1022">
        <f>I51</f>
        <v>0</v>
      </c>
      <c r="I8" s="1022">
        <f>G51+F51</f>
        <v>0</v>
      </c>
      <c r="J8" s="1022">
        <f>H51+D51+C51</f>
        <v>0</v>
      </c>
      <c r="K8" s="1022"/>
      <c r="L8" s="1022"/>
      <c r="M8" s="1022"/>
      <c r="N8" s="547"/>
      <c r="O8" s="548">
        <f>C8*$C$12+D8*$D$12+E8*$E$12+F8*$F$12+G8*$G$12+H8*$H$12+I8*$I$12+J8*$J$12</f>
        <v>943.2494113402131</v>
      </c>
      <c r="P8" s="1253"/>
      <c r="Q8" s="1254"/>
      <c r="S8" s="986"/>
      <c r="T8" s="1274"/>
      <c r="U8" s="1274"/>
    </row>
    <row r="9" spans="1:21" s="534" customFormat="1" ht="17.45" customHeight="1" thickBot="1">
      <c r="A9" s="549" t="s">
        <v>247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20043.597556140183</v>
      </c>
      <c r="C10" s="558">
        <f t="shared" ref="C10:L10" si="0">SUM(C8:C9)</f>
        <v>4669.5515412881832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943.2494113402131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O32</f>
        <v>5704.0714285714284</v>
      </c>
      <c r="C17" s="570">
        <f>B52</f>
        <v>6708.5913158546737</v>
      </c>
      <c r="D17" s="571"/>
      <c r="E17" s="571">
        <f>E52</f>
        <v>0</v>
      </c>
      <c r="F17" s="1028"/>
      <c r="G17" s="572"/>
      <c r="H17" s="570">
        <f>I52</f>
        <v>0</v>
      </c>
      <c r="I17" s="571">
        <f>G52+F52</f>
        <v>0</v>
      </c>
      <c r="J17" s="571">
        <f>H52+D52+C52</f>
        <v>0</v>
      </c>
      <c r="K17" s="571"/>
      <c r="L17" s="571"/>
      <c r="M17" s="571"/>
      <c r="N17" s="1029"/>
      <c r="O17" s="573">
        <f>C17*$C$22+E17*$E$22+H17*$H$22+I17*$I$22+J17*$J$22+D17*$D$22+F17*$F$22+G17*$G$22+K17*$K$22+L17*$L$22</f>
        <v>1355.1354458026442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5704.0714285714284</v>
      </c>
      <c r="C20" s="557">
        <f>SUM(C17:C19)</f>
        <v>6708.5913158546737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1355.1354458026442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45035</v>
      </c>
      <c r="C28" s="771">
        <v>9700</v>
      </c>
      <c r="D28" s="628" t="s">
        <v>913</v>
      </c>
      <c r="E28" s="627" t="s">
        <v>914</v>
      </c>
      <c r="F28" s="627" t="s">
        <v>915</v>
      </c>
      <c r="G28" s="627" t="s">
        <v>916</v>
      </c>
      <c r="H28" s="627" t="s">
        <v>917</v>
      </c>
      <c r="I28" s="627" t="s">
        <v>914</v>
      </c>
      <c r="J28" s="770">
        <v>40660</v>
      </c>
      <c r="K28" s="770">
        <v>40975</v>
      </c>
      <c r="L28" s="627" t="s">
        <v>918</v>
      </c>
      <c r="M28" s="627">
        <v>875</v>
      </c>
      <c r="N28" s="627">
        <v>3937.5</v>
      </c>
      <c r="O28" s="627">
        <v>5625</v>
      </c>
      <c r="P28" s="627">
        <v>11250</v>
      </c>
      <c r="Q28" s="627">
        <v>0</v>
      </c>
      <c r="R28" s="627">
        <v>0</v>
      </c>
      <c r="S28" s="627">
        <v>0</v>
      </c>
      <c r="T28" s="627">
        <v>0</v>
      </c>
      <c r="U28" s="627">
        <v>0</v>
      </c>
      <c r="V28" s="627">
        <v>0</v>
      </c>
      <c r="W28" s="627">
        <v>0</v>
      </c>
      <c r="X28" s="627">
        <v>300</v>
      </c>
      <c r="Y28" s="627" t="s">
        <v>919</v>
      </c>
      <c r="Z28" s="629" t="s">
        <v>388</v>
      </c>
    </row>
    <row r="29" spans="1:26" s="581" customFormat="1" ht="25.5">
      <c r="A29" s="580"/>
      <c r="B29" s="771">
        <v>45035</v>
      </c>
      <c r="C29" s="771">
        <v>9700</v>
      </c>
      <c r="D29" s="628" t="s">
        <v>920</v>
      </c>
      <c r="E29" s="627" t="s">
        <v>921</v>
      </c>
      <c r="F29" s="627" t="s">
        <v>922</v>
      </c>
      <c r="G29" s="627" t="s">
        <v>923</v>
      </c>
      <c r="H29" s="627" t="s">
        <v>923</v>
      </c>
      <c r="I29" s="627" t="s">
        <v>921</v>
      </c>
      <c r="J29" s="770">
        <v>40892</v>
      </c>
      <c r="K29" s="770">
        <v>41000</v>
      </c>
      <c r="L29" s="627" t="s">
        <v>918</v>
      </c>
      <c r="M29" s="627">
        <v>1</v>
      </c>
      <c r="N29" s="627">
        <v>4.5</v>
      </c>
      <c r="O29" s="627">
        <v>22.5</v>
      </c>
      <c r="P29" s="627">
        <v>30</v>
      </c>
      <c r="Q29" s="627">
        <v>0</v>
      </c>
      <c r="R29" s="627">
        <v>0</v>
      </c>
      <c r="S29" s="627">
        <v>0</v>
      </c>
      <c r="T29" s="627">
        <v>0</v>
      </c>
      <c r="U29" s="627">
        <v>0</v>
      </c>
      <c r="V29" s="627">
        <v>0</v>
      </c>
      <c r="W29" s="627">
        <v>0</v>
      </c>
      <c r="X29" s="627">
        <v>10</v>
      </c>
      <c r="Y29" s="627" t="s">
        <v>111</v>
      </c>
      <c r="Z29" s="629" t="s">
        <v>111</v>
      </c>
    </row>
    <row r="30" spans="1:26" s="581" customFormat="1" ht="25.5">
      <c r="A30" s="580"/>
      <c r="B30" s="771">
        <v>45035</v>
      </c>
      <c r="C30" s="771">
        <v>9700</v>
      </c>
      <c r="D30" s="628" t="s">
        <v>924</v>
      </c>
      <c r="E30" s="627" t="s">
        <v>925</v>
      </c>
      <c r="F30" s="627" t="s">
        <v>926</v>
      </c>
      <c r="G30" s="627" t="s">
        <v>923</v>
      </c>
      <c r="H30" s="627" t="s">
        <v>923</v>
      </c>
      <c r="I30" s="627" t="s">
        <v>925</v>
      </c>
      <c r="J30" s="770">
        <v>40512</v>
      </c>
      <c r="K30" s="770">
        <v>41122</v>
      </c>
      <c r="L30" s="627" t="s">
        <v>918</v>
      </c>
      <c r="M30" s="627">
        <v>1</v>
      </c>
      <c r="N30" s="627">
        <v>4.5</v>
      </c>
      <c r="O30" s="627">
        <v>22.5</v>
      </c>
      <c r="P30" s="627">
        <v>30</v>
      </c>
      <c r="Q30" s="627">
        <v>0</v>
      </c>
      <c r="R30" s="627">
        <v>0</v>
      </c>
      <c r="S30" s="627">
        <v>0</v>
      </c>
      <c r="T30" s="627">
        <v>0</v>
      </c>
      <c r="U30" s="627">
        <v>0</v>
      </c>
      <c r="V30" s="627">
        <v>0</v>
      </c>
      <c r="W30" s="627">
        <v>0</v>
      </c>
      <c r="X30" s="627">
        <v>10</v>
      </c>
      <c r="Y30" s="627" t="s">
        <v>111</v>
      </c>
      <c r="Z30" s="629" t="s">
        <v>111</v>
      </c>
    </row>
    <row r="31" spans="1:26" s="581" customFormat="1" ht="38.25">
      <c r="A31" s="580"/>
      <c r="B31" s="771">
        <v>45035</v>
      </c>
      <c r="C31" s="771">
        <v>9700</v>
      </c>
      <c r="D31" s="628" t="s">
        <v>927</v>
      </c>
      <c r="E31" s="627" t="s">
        <v>928</v>
      </c>
      <c r="F31" s="627" t="s">
        <v>929</v>
      </c>
      <c r="G31" s="627" t="s">
        <v>916</v>
      </c>
      <c r="H31" s="627" t="s">
        <v>917</v>
      </c>
      <c r="I31" s="627" t="s">
        <v>928</v>
      </c>
      <c r="J31" s="770">
        <v>41463</v>
      </c>
      <c r="K31" s="770">
        <v>41495</v>
      </c>
      <c r="L31" s="627" t="s">
        <v>918</v>
      </c>
      <c r="M31" s="627">
        <v>5.3</v>
      </c>
      <c r="N31" s="627">
        <v>23.85</v>
      </c>
      <c r="O31" s="627">
        <v>34.071428571428577</v>
      </c>
      <c r="P31" s="627">
        <v>68.142857142857153</v>
      </c>
      <c r="Q31" s="627">
        <v>0</v>
      </c>
      <c r="R31" s="627">
        <v>0</v>
      </c>
      <c r="S31" s="627">
        <v>0</v>
      </c>
      <c r="T31" s="627">
        <v>0</v>
      </c>
      <c r="U31" s="627">
        <v>0</v>
      </c>
      <c r="V31" s="627">
        <v>0</v>
      </c>
      <c r="W31" s="627">
        <v>0</v>
      </c>
      <c r="X31" s="627">
        <v>10</v>
      </c>
      <c r="Y31" s="627" t="s">
        <v>111</v>
      </c>
      <c r="Z31" s="629" t="s">
        <v>111</v>
      </c>
    </row>
    <row r="32" spans="1:26" s="565" customFormat="1">
      <c r="A32" s="583" t="s">
        <v>279</v>
      </c>
      <c r="B32" s="584"/>
      <c r="C32" s="584"/>
      <c r="D32" s="584"/>
      <c r="E32" s="584"/>
      <c r="F32" s="584"/>
      <c r="G32" s="584"/>
      <c r="H32" s="584"/>
      <c r="I32" s="584"/>
      <c r="J32" s="584"/>
      <c r="K32" s="584"/>
      <c r="L32" s="585"/>
      <c r="M32" s="585">
        <f>SUM(M28:M31)</f>
        <v>882.3</v>
      </c>
      <c r="N32" s="585">
        <f>SUM(N28:N31)</f>
        <v>3970.35</v>
      </c>
      <c r="O32" s="585">
        <f>SUM(O28:O31)</f>
        <v>5704.0714285714284</v>
      </c>
      <c r="P32" s="585">
        <f>SUM(P28:P31)</f>
        <v>11378.142857142857</v>
      </c>
      <c r="Q32" s="585">
        <f>SUM(Q28:Q31)</f>
        <v>0</v>
      </c>
      <c r="R32" s="585">
        <f>SUM(R28:R31)</f>
        <v>0</v>
      </c>
      <c r="S32" s="585">
        <f>SUM(S28:S31)</f>
        <v>0</v>
      </c>
      <c r="T32" s="585">
        <f>SUM(T28:T31)</f>
        <v>0</v>
      </c>
      <c r="U32" s="585">
        <f>SUM(U28:U31)</f>
        <v>0</v>
      </c>
      <c r="V32" s="585">
        <f>SUM(V28:V31)</f>
        <v>0</v>
      </c>
      <c r="W32" s="585">
        <f>SUM(W28:W31)</f>
        <v>0</v>
      </c>
      <c r="X32" s="586"/>
      <c r="Y32" s="586"/>
      <c r="Z32" s="587"/>
    </row>
    <row r="33" spans="1:27" s="565" customFormat="1">
      <c r="A33" s="583" t="s">
        <v>286</v>
      </c>
      <c r="B33" s="584"/>
      <c r="C33" s="584"/>
      <c r="D33" s="584"/>
      <c r="E33" s="584"/>
      <c r="F33" s="584"/>
      <c r="G33" s="584"/>
      <c r="H33" s="584"/>
      <c r="I33" s="584"/>
      <c r="J33" s="584"/>
      <c r="K33" s="584"/>
      <c r="L33" s="585"/>
      <c r="M33" s="585">
        <f>SUMIF($Z$28:$Z$31,"industrie",M28:M31)</f>
        <v>875</v>
      </c>
      <c r="N33" s="585">
        <f>SUMIF($Z$28:$Z$31,"industrie",N28:N31)</f>
        <v>3937.5</v>
      </c>
      <c r="O33" s="585">
        <f>SUMIF($Z$28:$Z$31,"industrie",O28:O31)</f>
        <v>5625</v>
      </c>
      <c r="P33" s="585">
        <f>SUMIF($Z$28:$Z$31,"industrie",P28:P31)</f>
        <v>11250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5" customFormat="1">
      <c r="A34" s="583" t="s">
        <v>287</v>
      </c>
      <c r="B34" s="584"/>
      <c r="C34" s="584"/>
      <c r="D34" s="584"/>
      <c r="E34" s="584"/>
      <c r="F34" s="584"/>
      <c r="G34" s="584"/>
      <c r="H34" s="584"/>
      <c r="I34" s="584"/>
      <c r="J34" s="584"/>
      <c r="K34" s="584"/>
      <c r="L34" s="585"/>
      <c r="M34" s="585">
        <f ca="1">SUMIF($Z$28:AC31,"tertiair",M28:M31)</f>
        <v>0</v>
      </c>
      <c r="N34" s="585">
        <f ca="1">SUMIF($Z$28:AD31,"tertiair",N28:N31)</f>
        <v>0</v>
      </c>
      <c r="O34" s="585">
        <f ca="1">SUMIF($Z$28:AE31,"tertiair",O28:O31)</f>
        <v>0</v>
      </c>
      <c r="P34" s="585">
        <f ca="1">SUMIF($Z$28:AF31,"tertiair",P28:P31)</f>
        <v>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5" customFormat="1" ht="15.75" thickBot="1">
      <c r="A35" s="588" t="s">
        <v>288</v>
      </c>
      <c r="B35" s="589"/>
      <c r="C35" s="589"/>
      <c r="D35" s="589"/>
      <c r="E35" s="589"/>
      <c r="F35" s="589"/>
      <c r="G35" s="589"/>
      <c r="H35" s="589"/>
      <c r="I35" s="589"/>
      <c r="J35" s="589"/>
      <c r="K35" s="589"/>
      <c r="L35" s="590"/>
      <c r="M35" s="590">
        <f>SUMIF($Z$28:$Z$31,"landbouw",M28:M31)</f>
        <v>7.3</v>
      </c>
      <c r="N35" s="590">
        <f>SUMIF($Z$28:$Z$31,"landbouw",N28:N31)</f>
        <v>32.85</v>
      </c>
      <c r="O35" s="590">
        <f>SUMIF($Z$28:$Z$31,"landbouw",O28:O31)</f>
        <v>79.071428571428584</v>
      </c>
      <c r="P35" s="590">
        <f>SUMIF($Z$28:$Z$31,"landbouw",P28:P31)</f>
        <v>128.14285714285717</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4" customFormat="1" ht="15.75" thickBot="1">
      <c r="A36" s="593"/>
      <c r="B36" s="594"/>
      <c r="C36" s="594"/>
      <c r="D36" s="594"/>
      <c r="E36" s="594"/>
      <c r="F36" s="594"/>
      <c r="G36" s="594"/>
      <c r="H36" s="594"/>
      <c r="I36" s="594"/>
      <c r="J36" s="594"/>
      <c r="K36" s="594"/>
      <c r="L36" s="577"/>
      <c r="M36" s="577"/>
      <c r="N36" s="577"/>
      <c r="O36" s="578"/>
      <c r="P36" s="578"/>
    </row>
    <row r="37" spans="1:27" s="534" customFormat="1" ht="45">
      <c r="A37" s="595" t="s">
        <v>280</v>
      </c>
      <c r="B37" s="624" t="s">
        <v>89</v>
      </c>
      <c r="C37" s="624" t="s">
        <v>90</v>
      </c>
      <c r="D37" s="624" t="s">
        <v>91</v>
      </c>
      <c r="E37" s="624" t="s">
        <v>92</v>
      </c>
      <c r="F37" s="624" t="s">
        <v>93</v>
      </c>
      <c r="G37" s="624" t="s">
        <v>94</v>
      </c>
      <c r="H37" s="624" t="s">
        <v>95</v>
      </c>
      <c r="I37" s="624" t="s">
        <v>96</v>
      </c>
      <c r="J37" s="624" t="s">
        <v>97</v>
      </c>
      <c r="K37" s="624" t="s">
        <v>98</v>
      </c>
      <c r="L37" s="624" t="s">
        <v>99</v>
      </c>
      <c r="M37" s="625" t="s">
        <v>297</v>
      </c>
      <c r="N37" s="625" t="s">
        <v>100</v>
      </c>
      <c r="O37" s="625" t="s">
        <v>101</v>
      </c>
      <c r="P37" s="625" t="s">
        <v>543</v>
      </c>
      <c r="Q37" s="625" t="s">
        <v>102</v>
      </c>
      <c r="R37" s="625" t="s">
        <v>103</v>
      </c>
      <c r="S37" s="625" t="s">
        <v>104</v>
      </c>
      <c r="T37" s="625" t="s">
        <v>105</v>
      </c>
      <c r="U37" s="625" t="s">
        <v>106</v>
      </c>
      <c r="V37" s="625" t="s">
        <v>107</v>
      </c>
      <c r="W37" s="624" t="s">
        <v>108</v>
      </c>
      <c r="X37" s="624" t="s">
        <v>298</v>
      </c>
      <c r="Y37" s="624" t="s">
        <v>109</v>
      </c>
      <c r="Z37" s="626" t="s">
        <v>299</v>
      </c>
    </row>
    <row r="38" spans="1:27" s="596" customFormat="1" ht="12.75">
      <c r="A38" s="582"/>
      <c r="B38" s="771"/>
      <c r="C38" s="771"/>
      <c r="D38" s="630"/>
      <c r="E38" s="630"/>
      <c r="F38" s="630"/>
      <c r="G38" s="630"/>
      <c r="H38" s="630"/>
      <c r="I38" s="630"/>
      <c r="J38" s="770"/>
      <c r="K38" s="770"/>
      <c r="L38" s="630"/>
      <c r="M38" s="630"/>
      <c r="N38" s="630"/>
      <c r="O38" s="630"/>
      <c r="P38" s="630"/>
      <c r="Q38" s="630"/>
      <c r="R38" s="630"/>
      <c r="S38" s="630"/>
      <c r="T38" s="630"/>
      <c r="U38" s="630"/>
      <c r="V38" s="630"/>
      <c r="W38" s="630"/>
      <c r="X38" s="630"/>
      <c r="Y38" s="630"/>
      <c r="Z38" s="631"/>
    </row>
    <row r="39" spans="1:27" s="565" customFormat="1">
      <c r="A39" s="583" t="s">
        <v>279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5" customFormat="1">
      <c r="A40" s="583" t="s">
        <v>286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5" customFormat="1">
      <c r="A41" s="583" t="s">
        <v>287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5" customFormat="1" ht="15.75" thickBot="1">
      <c r="A42" s="588" t="s">
        <v>288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281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282</v>
      </c>
      <c r="C47" s="607" t="s">
        <v>283</v>
      </c>
      <c r="D47" s="607"/>
      <c r="E47" s="607"/>
      <c r="F47" s="607"/>
      <c r="G47" s="607"/>
      <c r="H47" s="607"/>
      <c r="I47" s="608"/>
      <c r="J47" s="607"/>
      <c r="K47" s="607"/>
      <c r="L47" s="607"/>
      <c r="M47" s="607"/>
      <c r="N47" s="607"/>
      <c r="O47" s="607"/>
      <c r="P47" s="602"/>
    </row>
    <row r="48" spans="1:27">
      <c r="A48" s="604" t="s">
        <v>279</v>
      </c>
      <c r="B48" s="609">
        <f>IF(ISERROR(O32/(O32+N32)),0,O32/(O32+N32))</f>
        <v>0.58960336498528154</v>
      </c>
      <c r="C48" s="610">
        <f>IF(ISERROR(N32/(O32+N32)),0,N32/(N32+O32))</f>
        <v>0.41039663501471851</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543</v>
      </c>
      <c r="C50" s="617" t="s">
        <v>102</v>
      </c>
      <c r="D50" s="617" t="s">
        <v>103</v>
      </c>
      <c r="E50" s="617" t="s">
        <v>104</v>
      </c>
      <c r="F50" s="617" t="s">
        <v>105</v>
      </c>
      <c r="G50" s="617" t="s">
        <v>106</v>
      </c>
      <c r="H50" s="617" t="s">
        <v>107</v>
      </c>
      <c r="I50" s="618" t="s">
        <v>108</v>
      </c>
      <c r="J50" s="607"/>
      <c r="K50" s="607"/>
      <c r="L50" s="615"/>
      <c r="M50" s="615"/>
      <c r="N50" s="615"/>
      <c r="O50" s="602"/>
      <c r="P50" s="602"/>
    </row>
    <row r="51" spans="1:16">
      <c r="A51" s="606" t="s">
        <v>284</v>
      </c>
      <c r="B51" s="619">
        <f t="shared" ref="B51:I51" si="2">$C$48*P32</f>
        <v>4669.5515412881832</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285</v>
      </c>
      <c r="B52" s="622">
        <f t="shared" ref="B52:I52" si="3">$B$48*P32</f>
        <v>6708.5913158546737</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2020-06-20T16:10:41Z</dcterms:modified>
</cp:coreProperties>
</file>