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J26" i="48" s="1"/>
  <c r="J33" i="48" s="1"/>
  <c r="G33" i="48"/>
  <c r="I22" i="14"/>
  <c r="I27" i="14" s="1"/>
  <c r="I63" i="14" s="1"/>
  <c r="R20" i="14"/>
  <c r="R22" i="14" s="1"/>
  <c r="H27" i="48"/>
  <c r="H33" i="48" s="1"/>
  <c r="H15" i="48"/>
  <c r="O13" i="14"/>
  <c r="N8" i="48"/>
  <c r="N26" i="48" s="1"/>
  <c r="F8" i="48"/>
  <c r="G13" i="14"/>
  <c r="K63" i="14" l="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<sst xmlns="http://schemas.openxmlformats.org/spreadsheetml/2006/main" count="2443" uniqueCount="920">
  <si>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</si>
  <si>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</si>
  <si>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</si>
  <si>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</si>
  <si>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</si>
  <si>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</si>
  <si>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</si>
  <si>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</si>
  <si>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</si>
  <si>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</si>
  <si>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</si>
  <si>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</si>
  <si>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</si>
  <si>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</si>
  <si>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</si>
  <si>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</si>
  <si>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</si>
  <si>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</si>
  <si>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</si>
  <si>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</si>
  <si>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</si>
  <si>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</si>
  <si>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</si>
  <si>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</si>
  <si>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</si>
  <si>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</si>
  <si>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</si>
  <si>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</si>
  <si>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</si>
  <si>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</si>
  <si>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</si>
  <si>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</si>
  <si>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</si>
  <si>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</si>
  <si>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</si>
  <si>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</si>
  <si>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</si>
  <si>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</si>
  <si>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</si>
  <si>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</si>
  <si>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</si>
  <si>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</si>
  <si>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</si>
  <si>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</si>
  <si>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</si>
  <si>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</si>
  <si>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</si>
  <si>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</si>
  <si>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</si>
  <si>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</si>
  <si>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</si>
  <si>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</si>
  <si>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</si>
  <si>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</si>
  <si>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</si>
  <si>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</si>
  <si>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</si>
  <si>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</si>
  <si>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</si>
  <si>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</si>
  <si>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</si>
  <si>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</si>
  <si>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</si>
  <si>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</si>
  <si>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</si>
  <si>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</si>
  <si>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</si>
  <si>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</si>
  <si>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</si>
  <si>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</si>
  <si>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</si>
  <si>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</si>
  <si>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</si>
  <si>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</si>
  <si>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</si>
  <si>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</si>
  <si>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</si>
  <si>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</si>
  <si>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</si>
  <si>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</si>
  <si>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</si>
  <si>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</si>
  <si>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</si>
  <si>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</si>
  <si>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</si>
  <si>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</si>
  <si>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</si>
  <si>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</si>
  <si>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</si>
  <si>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</si>
  <si>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</si>
  <si>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</si>
  <si>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</si>
  <si>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</si>
  <si>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</si>
  <si>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</si>
  <si>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</si>
  <si>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</si>
  <si>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</si>
  <si>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</si>
  <si>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</si>
  <si>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</si>
  <si>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</si>
  <si>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</si>
  <si>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</si>
  <si>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</si>
  <si>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</si>
  <si>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</si>
  <si>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</si>
  <si>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</si>
  <si>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</si>
  <si>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</si>
  <si>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</si>
  <si>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</si>
  <si>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</si>
  <si>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</si>
  <si>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</si>
  <si>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</si>
  <si>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</si>
  <si>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</si>
  <si>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</si>
  <si>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</si>
  <si>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</si>
  <si>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</si>
  <si>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</si>
  <si>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</si>
  <si>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</si>
  <si>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</si>
  <si>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</si>
  <si>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</si>
  <si>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</si>
  <si>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</si>
  <si>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</si>
  <si>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</si>
  <si>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</si>
  <si>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</si>
  <si>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</si>
  <si>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</si>
  <si>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</si>
  <si>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</si>
  <si>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</si>
  <si>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</si>
  <si>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</si>
  <si>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</si>
  <si>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</si>
  <si>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</si>
  <si>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</si>
  <si>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</si>
  <si>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</si>
  <si>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</si>
  <si>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</si>
  <si>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</si>
  <si>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</si>
  <si>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</si>
  <si>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</si>
  <si>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</si>
  <si>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</si>
  <si>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</si>
  <si>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</si>
  <si>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</si>
  <si>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</si>
  <si>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</si>
  <si>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</si>
  <si>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</si>
  <si>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</si>
  <si>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</si>
  <si>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</si>
  <si>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</si>
  <si>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</si>
  <si>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</si>
  <si>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</si>
  <si>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</si>
  <si>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</si>
  <si>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</si>
  <si>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</si>
  <si>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</si>
  <si>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</si>
  <si>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</si>
  <si>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</si>
  <si>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</si>
  <si>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</si>
  <si>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</si>
  <si>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</si>
  <si>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</si>
  <si>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</si>
  <si>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</si>
  <si>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</si>
  <si>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</si>
  <si>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</si>
  <si>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</si>
  <si>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</si>
  <si>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</si>
  <si>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</si>
  <si>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</si>
  <si>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</si>
  <si>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</si>
  <si>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</si>
  <si>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</si>
  <si>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</si>
  <si>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</si>
  <si>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</si>
  <si>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</si>
  <si>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</si>
  <si>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</si>
  <si>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</si>
  <si>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</si>
  <si>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</si>
  <si>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</si>
  <si>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</si>
  <si>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</si>
  <si>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</si>
  <si>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</si>
  <si>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</si>
  <si>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</si>
  <si>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</si>
  <si>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</si>
  <si>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</si>
  <si>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</si>
  <si>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</si>
  <si>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</si>
  <si>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</si>
  <si>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</si>
  <si>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</si>
  <si>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</si>
  <si>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</si>
  <si>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</si>
  <si>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</si>
  <si>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</si>
  <si>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</si>
  <si>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</si>
  <si>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</si>
  <si>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</si>
  <si>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</si>
  <si>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</si>
  <si>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</si>
  <si>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</si>
  <si>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</si>
  <si>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</si>
  <si>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</si>
  <si>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</si>
  <si>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</si>
  <si>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</si>
  <si>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</si>
  <si>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</si>
  <si>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</si>
  <si>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</si>
  <si>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</si>
  <si>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</si>
  <si>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</si>
  <si>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</si>
  <si>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</si>
  <si>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</si>
  <si>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</si>
  <si>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</si>
  <si>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</si>
  <si>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</si>
  <si>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</si>
  <si>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</si>
  <si>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</si>
  <si>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</si>
  <si>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</si>
  <si>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</si>
  <si>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</si>
  <si>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</si>
  <si>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</si>
  <si>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</si>
  <si>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</si>
  <si>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</si>
  <si>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</si>
  <si>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</si>
  <si>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</si>
  <si>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</si>
  <si>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</si>
  <si>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</si>
  <si>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</si>
  <si>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</si>
  <si>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</si>
  <si>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</si>
  <si>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</si>
  <si>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</si>
  <si>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</si>
  <si>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</si>
  <si>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</si>
  <si>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</si>
  <si>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</si>
  <si>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</si>
  <si>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</si>
  <si>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</si>
  <si>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</si>
  <si>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</si>
  <si>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</si>
  <si>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</si>
  <si>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</si>
  <si>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</si>
  <si>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</si>
  <si>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</si>
  <si>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</si>
  <si>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</si>
  <si>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</si>
  <si>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</si>
  <si>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</si>
  <si>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</si>
  <si>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</si>
  <si>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</si>
  <si>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</si>
  <si>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</si>
  <si>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</si>
  <si>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</si>
  <si>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</si>
  <si>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</si>
  <si>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</si>
  <si>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</si>
  <si>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</si>
  <si>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</si>
  <si>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</si>
  <si>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</si>
  <si>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</si>
  <si>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</si>
  <si>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</si>
  <si>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</si>
  <si>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</si>
  <si>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</si>
  <si>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</si>
  <si>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</si>
  <si>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</si>
  <si>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</si>
  <si>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</si>
  <si>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</si>
  <si>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</si>
  <si>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</si>
  <si>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</si>
  <si>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</si>
  <si>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</si>
  <si>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</si>
  <si>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</si>
  <si>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</si>
  <si>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</si>
  <si>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</si>
  <si>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</si>
  <si>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</si>
  <si>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</si>
  <si>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</si>
  <si>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</si>
  <si>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</si>
  <si>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</si>
  <si>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</si>
  <si>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</si>
  <si>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</si>
  <si>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</si>
  <si>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</si>
  <si>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</si>
  <si>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</si>
  <si>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</si>
  <si>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</si>
  <si>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</si>
  <si>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</si>
  <si>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</si>
  <si>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</si>
  <si>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</si>
  <si>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</si>
  <si>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</si>
  <si>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</si>
  <si>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</si>
  <si>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</si>
  <si>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</si>
  <si>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</si>
  <si>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</si>
  <si>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</si>
  <si>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</si>
  <si>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</si>
  <si>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</si>
  <si>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</si>
  <si>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</si>
  <si>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</si>
  <si>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</si>
  <si>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</si>
  <si>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</si>
  <si>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</si>
  <si>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</si>
  <si>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</si>
  <si>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</si>
  <si>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</si>
  <si>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</si>
  <si>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</si>
  <si>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</si>
  <si>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</si>
  <si>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</si>
  <si>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</si>
  <si>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</si>
  <si>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</si>
  <si>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</si>
  <si>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</si>
  <si>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</si>
  <si>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</si>
  <si>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</si>
  <si>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</si>
  <si>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</si>
  <si>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</si>
  <si>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</si>
  <si>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</si>
  <si>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</si>
  <si>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</si>
  <si>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</si>
  <si>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</si>
  <si>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</si>
  <si>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</si>
  <si>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</si>
  <si>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</si>
  <si>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</si>
  <si>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</si>
  <si>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</si>
  <si>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</si>
  <si>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</si>
  <si>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</si>
  <si>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</si>
  <si>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</si>
  <si>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</si>
  <si>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</si>
  <si>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</si>
  <si>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</si>
  <si>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</si>
  <si>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</si>
  <si>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</si>
  <si>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</si>
  <si>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</si>
  <si>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</si>
  <si>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</si>
  <si>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</si>
  <si>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</si>
  <si>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</si>
  <si>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</si>
  <si>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</si>
  <si>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</si>
  <si>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</si>
  <si>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</si>
  <si>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</si>
  <si>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</si>
  <si>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</si>
  <si>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</si>
  <si>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</si>
  <si>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</si>
  <si>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</si>
  <si>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</si>
  <si>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</si>
  <si>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</si>
  <si>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</si>
  <si>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</si>
  <si>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</si>
  <si>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</si>
  <si>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</si>
  <si>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</si>
  <si>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</si>
  <si>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</si>
  <si>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</si>
  <si>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</si>
  <si>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</si>
  <si>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</si>
  <si>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</si>
  <si>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</si>
  <si>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</si>
  <si>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</si>
  <si>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</si>
  <si>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</si>
  <si>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</si>
  <si>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</si>
  <si>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</si>
  <si>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</si>
  <si>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</si>
  <si>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</si>
  <si>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</si>
  <si>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</si>
  <si>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</si>
  <si>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</si>
  <si>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</si>
  <si>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</si>
  <si>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</si>
  <si>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</si>
  <si>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</si>
  <si>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</si>
  <si>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</si>
  <si>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</si>
  <si>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</si>
  <si>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</si>
  <si>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</si>
  <si>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</si>
  <si>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</si>
  <si>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</si>
  <si>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</si>
  <si>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</si>
  <si>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</si>
  <si>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</si>
  <si>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</si>
  <si>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</si>
  <si>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</si>
  <si>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</si>
  <si>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</si>
  <si>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</si>
  <si>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</si>
  <si>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</si>
  <si>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</si>
  <si>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</si>
  <si>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</si>
  <si>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</si>
  <si>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</si>
  <si>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</si>
  <si>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</si>
  <si>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</si>
  <si>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</si>
  <si>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</si>
  <si>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</si>
  <si>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</si>
  <si>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</si>
  <si>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</si>
  <si>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</si>
  <si>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</si>
  <si>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</si>
  <si>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</si>
  <si>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</si>
  <si>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</si>
  <si>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</si>
  <si>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</si>
  <si>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</si>
  <si>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</si>
  <si>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</si>
  <si>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</si>
  <si>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</si>
  <si>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</si>
  <si>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</si>
  <si>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</si>
  <si>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</si>
  <si>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</si>
  <si>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</si>
  <si>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</si>
  <si>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</si>
  <si>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</si>
  <si>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</si>
  <si>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</si>
  <si>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</si>
  <si>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</si>
  <si>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</si>
  <si>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</si>
  <si>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</si>
  <si>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</si>
  <si>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</si>
  <si>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</si>
  <si>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</si>
  <si>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</si>
  <si>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</si>
  <si>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</si>
  <si>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</si>
  <si>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</si>
  <si>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</si>
  <si>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</si>
  <si>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</si>
  <si>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</si>
  <si>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</si>
  <si>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</si>
  <si>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</si>
  <si>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</si>
  <si>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</si>
  <si>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</si>
  <si>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</si>
  <si>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</si>
  <si>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</si>
  <si>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</si>
  <si>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</si>
  <si>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</si>
  <si>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</si>
  <si>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</si>
  <si>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</si>
  <si>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</si>
  <si>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</si>
  <si>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</si>
  <si>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</si>
  <si>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</si>
  <si>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</si>
  <si>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</si>
  <si>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</si>
  <si>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</si>
  <si>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</si>
  <si>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</si>
  <si>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</si>
  <si>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</si>
  <si>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</si>
  <si>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</si>
  <si>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</si>
  <si>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</si>
  <si>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</si>
  <si>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</si>
  <si>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</si>
  <si>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</si>
  <si>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</si>
  <si>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</si>
  <si>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</si>
  <si>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</si>
  <si>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</si>
  <si>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</si>
  <si>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</si>
  <si>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</si>
  <si>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</si>
  <si>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</si>
  <si>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</si>
  <si>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</si>
  <si>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</si>
  <si>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</si>
  <si>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</si>
  <si>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</si>
  <si>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</si>
  <si>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</si>
  <si>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</si>
  <si>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</si>
  <si>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</si>
  <si>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</si>
  <si>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</si>
  <si>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</si>
  <si>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</si>
  <si>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</si>
  <si>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</si>
  <si>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</si>
  <si>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</si>
  <si>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</si>
  <si>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</si>
  <si>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</si>
  <si>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</si>
  <si>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</si>
  <si>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</si>
  <si>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</si>
  <si>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</si>
  <si>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</si>
  <si>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</si>
  <si>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</si>
  <si>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</si>
  <si>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</si>
  <si>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</si>
  <si>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</si>
  <si>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</si>
  <si>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</si>
  <si>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</si>
  <si>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</si>
  <si>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</si>
  <si>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</si>
  <si>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</si>
  <si>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</si>
  <si>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</si>
  <si>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</si>
  <si>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</si>
  <si>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</si>
  <si>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</si>
  <si>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</si>
  <si>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</si>
  <si>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</si>
  <si>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</si>
  <si>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</si>
  <si>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</si>
  <si>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</si>
  <si>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</si>
  <si>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</si>
  <si>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</si>
  <si>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</si>
  <si>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</si>
  <si>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</si>
  <si>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</si>
  <si>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</si>
  <si>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</si>
  <si>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</si>
  <si>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</si>
  <si>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</si>
  <si>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</si>
  <si>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</si>
  <si>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</si>
  <si>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</si>
  <si>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</si>
  <si>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</si>
  <si>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</si>
  <si>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</si>
  <si>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</si>
  <si>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</si>
  <si>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</si>
  <si>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</si>
  <si>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</si>
  <si>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</si>
  <si>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</si>
  <si>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</si>
  <si>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</si>
  <si>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</si>
  <si>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</si>
  <si>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</si>
  <si>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</si>
  <si>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</si>
  <si>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</si>
  <si>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</si>
  <si>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</si>
  <si>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</si>
  <si>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</si>
  <si>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</si>
  <si>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</si>
  <si>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</si>
  <si>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</si>
  <si>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</si>
  <si>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</si>
  <si>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</si>
  <si>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</si>
  <si>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</si>
  <si>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</si>
  <si>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</si>
  <si>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</si>
  <si>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</si>
  <si>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</si>
  <si>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</si>
  <si>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</si>
  <si>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</si>
  <si>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</si>
  <si>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</si>
  <si>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</si>
  <si>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</si>
  <si>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</si>
  <si>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</si>
  <si>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</si>
  <si>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</si>
  <si>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</si>
  <si>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</si>
  <si>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</si>
  <si>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</si>
  <si>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</si>
  <si>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</si>
  <si>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</si>
  <si>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</si>
  <si>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</si>
  <si>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</si>
  <si>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</si>
  <si>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</si>
  <si>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</si>
  <si>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</si>
  <si>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</si>
  <si>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</si>
  <si>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</si>
  <si>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</si>
  <si>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</si>
  <si>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</si>
  <si>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</si>
  <si>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</si>
  <si>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</si>
  <si>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</si>
  <si>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</si>
  <si>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</si>
  <si>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</si>
  <si>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</si>
  <si>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</si>
  <si>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</si>
  <si>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</si>
  <si>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</si>
  <si>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</si>
  <si>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</si>
  <si>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</si>
  <si>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</si>
  <si>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</si>
  <si>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</si>
  <si>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</si>
  <si>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</si>
  <si>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</si>
  <si>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</si>
  <si>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</si>
  <si>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</si>
  <si>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</si>
  <si>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</si>
  <si>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</si>
  <si>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</si>
  <si>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</si>
  <si>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</si>
  <si>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</si>
  <si>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</si>
  <si>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</si>
  <si>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</si>
  <si>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</si>
  <si>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</si>
  <si>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</si>
  <si>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</si>
  <si>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</si>
  <si>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</si>
  <si>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</si>
  <si>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</si>
  <si>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</si>
  <si>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</si>
  <si>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</si>
  <si>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</si>
  <si>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</si>
  <si>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</si>
  <si>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</si>
  <si>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</si>
  <si>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</si>
  <si>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</si>
  <si>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</si>
  <si>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</si>
  <si>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</si>
  <si>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</si>
  <si>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</si>
  <si>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</si>
  <si>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</si>
  <si>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</si>
  <si>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</si>
  <si>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</si>
  <si>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</si>
  <si>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</si>
  <si>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</si>
  <si>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</si>
  <si>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</si>
  <si>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</si>
  <si>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</si>
  <si>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</si>
  <si>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</si>
  <si>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</si>
  <si>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</si>
  <si>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</si>
  <si>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</si>
  <si>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</si>
  <si>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</si>
  <si>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</si>
  <si>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</si>
  <si>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</si>
  <si>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</si>
  <si>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</si>
  <si>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</si>
  <si>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</si>
  <si>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</si>
  <si>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</si>
  <si>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</si>
  <si>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</si>
  <si>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</si>
  <si>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</si>
  <si>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</si>
  <si>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</si>
  <si>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</si>
  <si>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</si>
  <si>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</si>
  <si>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</si>
  <si>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</si>
  <si>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</si>
  <si>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</si>
  <si>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</si>
  <si>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</si>
  <si>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</si>
  <si>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</si>
  <si>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</si>
  <si>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</si>
  <si>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</si>
  <si>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</si>
  <si>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</si>
  <si>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</si>
  <si>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</si>
  <si>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</si>
  <si>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</si>
  <si>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</si>
  <si>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</si>
  <si>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</si>
  <si>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</si>
  <si>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</si>
  <si>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</si>
  <si>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</si>
  <si>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</si>
  <si>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</si>
  <si>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</si>
  <si>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</si>
  <si>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</si>
  <si>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</si>
  <si>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</si>
  <si>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</si>
  <si>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</si>
  <si>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</si>
  <si>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</si>
  <si>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</si>
  <si>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</si>
  <si>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</si>
  <si>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</si>
  <si>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</si>
  <si>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</si>
  <si>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</si>
  <si>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</si>
  <si>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</si>
  <si>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</si>
  <si>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</si>
  <si>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</si>
  <si>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</si>
  <si>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</si>
  <si>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</si>
  <si>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</si>
  <si>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</si>
  <si>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</si>
  <si>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</si>
  <si>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</si>
  <si>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</si>
  <si>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</si>
  <si>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</si>
  <si>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</si>
  <si>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</si>
  <si>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</si>
  <si>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</si>
  <si>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</si>
  <si>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</si>
  <si>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</si>
  <si>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</si>
  <si>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</si>
  <si>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</si>
  <si>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</si>
  <si>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</si>
  <si>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</si>
  <si>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</si>
  <si>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</si>
  <si>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45017</t>
  </si>
  <si>
    <t>KRUISHOUTEM</t>
  </si>
  <si>
    <t>Paarden&amp;pony's 200 - 600 kg</t>
  </si>
  <si>
    <t>Paarden&amp;pony's &lt; 200 kg</t>
  </si>
  <si>
    <t>Fluvius</t>
  </si>
  <si>
    <t>referentietaak LNE (2017); Jaarverslag De Lijn</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</si>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</sst>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84342.973554519776</c:v>
                </c:pt>
                <c:pt idx="1">
                  <c:v>36410.364881778965</c:v>
                </c:pt>
                <c:pt idx="2">
                  <c:v>764.89599999999996</c:v>
                </c:pt>
                <c:pt idx="3">
                  <c:v>10233.441814180815</c:v>
                </c:pt>
                <c:pt idx="4">
                  <c:v>321883.33082857268</c:v>
                </c:pt>
                <c:pt idx="5">
                  <c:v>292327.40896590531</c:v>
                </c:pt>
                <c:pt idx="6">
                  <c:v>478.36458395852634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84342.973554519776</c:v>
                </c:pt>
                <c:pt idx="1">
                  <c:v>36410.364881778965</c:v>
                </c:pt>
                <c:pt idx="2">
                  <c:v>764.89599999999996</c:v>
                </c:pt>
                <c:pt idx="3">
                  <c:v>10233.441814180815</c:v>
                </c:pt>
                <c:pt idx="4">
                  <c:v>321883.33082857268</c:v>
                </c:pt>
                <c:pt idx="5">
                  <c:v>292327.40896590531</c:v>
                </c:pt>
                <c:pt idx="6">
                  <c:v>478.36458395852634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17834.181594658705</c:v>
                </c:pt>
                <c:pt idx="2">
                  <c:v>7421.0152145489774</c:v>
                </c:pt>
                <c:pt idx="3">
                  <c:v>161.2165215474931</c:v>
                </c:pt>
                <c:pt idx="4">
                  <c:v>2584.0210775631331</c:v>
                </c:pt>
                <c:pt idx="5">
                  <c:v>67184.36136743227</c:v>
                </c:pt>
                <c:pt idx="6">
                  <c:v>73413.942624923948</c:v>
                </c:pt>
                <c:pt idx="7">
                  <c:v>120.81776803030786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17834.181594658705</c:v>
                </c:pt>
                <c:pt idx="2">
                  <c:v>7421.0152145489774</c:v>
                </c:pt>
                <c:pt idx="3">
                  <c:v>161.2165215474931</c:v>
                </c:pt>
                <c:pt idx="4">
                  <c:v>2584.0210775631331</c:v>
                </c:pt>
                <c:pt idx="5">
                  <c:v>67184.36136743227</c:v>
                </c:pt>
                <c:pt idx="6">
                  <c:v>73413.942624923948</c:v>
                </c:pt>
                <c:pt idx="7">
                  <c:v>120.81776803030786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45017</v>
      </c>
      <c r="B6" s="391"/>
      <c r="C6" s="392"/>
    </row>
    <row r="7" spans="1:7" s="389" customFormat="1" ht="15.75" customHeight="1">
      <c r="A7" s="393" t="str">
        <f>txtMunicipality</f>
        <v>KRUISHOUTEM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0.21076920463369284</v>
      </c>
      <c r="C17" s="499">
        <f ca="1">'EF ele_warmte'!B22</f>
        <v>0.23764705882352941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0.21076920463369284</v>
      </c>
      <c r="C29" s="500">
        <f ca="1">'EF ele_warmte'!B22</f>
        <v>0.23764705882352941</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3236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3093</v>
      </c>
      <c r="C14" s="330"/>
      <c r="D14" s="330"/>
      <c r="E14" s="330"/>
      <c r="F14" s="330"/>
    </row>
    <row r="15" spans="1:6">
      <c r="A15" s="1305" t="s">
        <v>183</v>
      </c>
      <c r="B15" s="1306">
        <v>31</v>
      </c>
      <c r="C15" s="330"/>
      <c r="D15" s="330"/>
      <c r="E15" s="330"/>
      <c r="F15" s="330"/>
    </row>
    <row r="16" spans="1:6">
      <c r="A16" s="1305" t="s">
        <v>6</v>
      </c>
      <c r="B16" s="1306">
        <v>855</v>
      </c>
      <c r="C16" s="330"/>
      <c r="D16" s="330"/>
      <c r="E16" s="330"/>
      <c r="F16" s="330"/>
    </row>
    <row r="17" spans="1:6">
      <c r="A17" s="1305" t="s">
        <v>7</v>
      </c>
      <c r="B17" s="1306">
        <v>1097</v>
      </c>
      <c r="C17" s="330"/>
      <c r="D17" s="330"/>
      <c r="E17" s="330"/>
      <c r="F17" s="330"/>
    </row>
    <row r="18" spans="1:6">
      <c r="A18" s="1305" t="s">
        <v>8</v>
      </c>
      <c r="B18" s="1306">
        <v>1257</v>
      </c>
      <c r="C18" s="330"/>
      <c r="D18" s="330"/>
      <c r="E18" s="330"/>
      <c r="F18" s="330"/>
    </row>
    <row r="19" spans="1:6">
      <c r="A19" s="1305" t="s">
        <v>9</v>
      </c>
      <c r="B19" s="1306">
        <v>1209</v>
      </c>
      <c r="C19" s="330"/>
      <c r="D19" s="330"/>
      <c r="E19" s="330"/>
      <c r="F19" s="330"/>
    </row>
    <row r="20" spans="1:6">
      <c r="A20" s="1305" t="s">
        <v>10</v>
      </c>
      <c r="B20" s="1306">
        <v>893</v>
      </c>
      <c r="C20" s="330"/>
      <c r="D20" s="330"/>
      <c r="E20" s="330"/>
      <c r="F20" s="330"/>
    </row>
    <row r="21" spans="1:6">
      <c r="A21" s="1305" t="s">
        <v>11</v>
      </c>
      <c r="B21" s="1306">
        <v>4654</v>
      </c>
      <c r="C21" s="330"/>
      <c r="D21" s="330"/>
      <c r="E21" s="330"/>
      <c r="F21" s="330"/>
    </row>
    <row r="22" spans="1:6">
      <c r="A22" s="1305" t="s">
        <v>12</v>
      </c>
      <c r="B22" s="1306">
        <v>10783</v>
      </c>
      <c r="C22" s="330"/>
      <c r="D22" s="330"/>
      <c r="E22" s="330"/>
      <c r="F22" s="330"/>
    </row>
    <row r="23" spans="1:6">
      <c r="A23" s="1305" t="s">
        <v>13</v>
      </c>
      <c r="B23" s="1306">
        <v>207</v>
      </c>
      <c r="C23" s="330"/>
      <c r="D23" s="330"/>
      <c r="E23" s="330"/>
      <c r="F23" s="330"/>
    </row>
    <row r="24" spans="1:6">
      <c r="A24" s="1305" t="s">
        <v>14</v>
      </c>
      <c r="B24" s="1306">
        <v>16</v>
      </c>
      <c r="C24" s="330"/>
      <c r="D24" s="330"/>
      <c r="E24" s="330"/>
      <c r="F24" s="330"/>
    </row>
    <row r="25" spans="1:6">
      <c r="A25" s="1305" t="s">
        <v>15</v>
      </c>
      <c r="B25" s="1306">
        <v>1983</v>
      </c>
      <c r="C25" s="330"/>
      <c r="D25" s="330"/>
      <c r="E25" s="330"/>
      <c r="F25" s="330"/>
    </row>
    <row r="26" spans="1:6">
      <c r="A26" s="1305" t="s">
        <v>16</v>
      </c>
      <c r="B26" s="1306">
        <v>148</v>
      </c>
      <c r="C26" s="330"/>
      <c r="D26" s="330"/>
      <c r="E26" s="330"/>
      <c r="F26" s="330"/>
    </row>
    <row r="27" spans="1:6">
      <c r="A27" s="1305" t="s">
        <v>17</v>
      </c>
      <c r="B27" s="1306">
        <v>13</v>
      </c>
      <c r="C27" s="330"/>
      <c r="D27" s="330"/>
      <c r="E27" s="330"/>
      <c r="F27" s="330"/>
    </row>
    <row r="28" spans="1:6" s="43" customFormat="1">
      <c r="A28" s="1307" t="s">
        <v>18</v>
      </c>
      <c r="B28" s="1308">
        <v>219283</v>
      </c>
      <c r="C28" s="336"/>
      <c r="D28" s="336"/>
      <c r="E28" s="336"/>
      <c r="F28" s="336"/>
    </row>
    <row r="29" spans="1:6">
      <c r="A29" s="1307" t="s">
        <v>909</v>
      </c>
      <c r="B29" s="1308">
        <v>184</v>
      </c>
      <c r="C29" s="336"/>
      <c r="D29" s="336"/>
      <c r="E29" s="336"/>
      <c r="F29" s="336"/>
    </row>
    <row r="30" spans="1:6">
      <c r="A30" s="1300" t="s">
        <v>910</v>
      </c>
      <c r="B30" s="1309">
        <v>26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627.26729999999998</v>
      </c>
    </row>
    <row r="39" spans="1:6">
      <c r="A39" s="1305" t="s">
        <v>29</v>
      </c>
      <c r="B39" s="1305" t="s">
        <v>30</v>
      </c>
      <c r="C39" s="1306">
        <v>863</v>
      </c>
      <c r="D39" s="1306">
        <v>12760356.991601201</v>
      </c>
      <c r="E39" s="1306">
        <v>2952</v>
      </c>
      <c r="F39" s="1306">
        <v>15404395</v>
      </c>
    </row>
    <row r="40" spans="1:6">
      <c r="A40" s="1305" t="s">
        <v>29</v>
      </c>
      <c r="B40" s="1305" t="s">
        <v>28</v>
      </c>
      <c r="C40" s="1306">
        <v>0</v>
      </c>
      <c r="D40" s="1306">
        <v>0</v>
      </c>
      <c r="E40" s="1306">
        <v>0</v>
      </c>
      <c r="F40" s="1306">
        <v>0</v>
      </c>
    </row>
    <row r="41" spans="1:6">
      <c r="A41" s="1305" t="s">
        <v>31</v>
      </c>
      <c r="B41" s="1305" t="s">
        <v>32</v>
      </c>
      <c r="C41" s="1306">
        <v>12</v>
      </c>
      <c r="D41" s="1306">
        <v>240567.85772413199</v>
      </c>
      <c r="E41" s="1306">
        <v>95</v>
      </c>
      <c r="F41" s="1306">
        <v>1461699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20</v>
      </c>
      <c r="F44" s="1306">
        <v>926291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1100997</v>
      </c>
    </row>
    <row r="48" spans="1:6">
      <c r="A48" s="1305" t="s">
        <v>31</v>
      </c>
      <c r="B48" s="1305" t="s">
        <v>28</v>
      </c>
      <c r="C48" s="1306">
        <v>33</v>
      </c>
      <c r="D48" s="1306">
        <v>135927253.62472901</v>
      </c>
      <c r="E48" s="1306">
        <v>44</v>
      </c>
      <c r="F48" s="1306">
        <v>115000000</v>
      </c>
    </row>
    <row r="49" spans="1:6">
      <c r="A49" s="1305" t="s">
        <v>31</v>
      </c>
      <c r="B49" s="1305" t="s">
        <v>39</v>
      </c>
      <c r="C49" s="1306">
        <v>0</v>
      </c>
      <c r="D49" s="1306">
        <v>0</v>
      </c>
      <c r="E49" s="1306">
        <v>0</v>
      </c>
      <c r="F49" s="1306">
        <v>0</v>
      </c>
    </row>
    <row r="50" spans="1:6">
      <c r="A50" s="1305" t="s">
        <v>31</v>
      </c>
      <c r="B50" s="1305" t="s">
        <v>40</v>
      </c>
      <c r="C50" s="1306">
        <v>3</v>
      </c>
      <c r="D50" s="1306">
        <v>35375.002868927397</v>
      </c>
      <c r="E50" s="1306">
        <v>12</v>
      </c>
      <c r="F50" s="1306">
        <v>11625115</v>
      </c>
    </row>
    <row r="51" spans="1:6">
      <c r="A51" s="1305" t="s">
        <v>41</v>
      </c>
      <c r="B51" s="1305" t="s">
        <v>42</v>
      </c>
      <c r="C51" s="1306">
        <v>0</v>
      </c>
      <c r="D51" s="1306">
        <v>0</v>
      </c>
      <c r="E51" s="1306">
        <v>117</v>
      </c>
      <c r="F51" s="1306">
        <v>2156844</v>
      </c>
    </row>
    <row r="52" spans="1:6">
      <c r="A52" s="1305" t="s">
        <v>41</v>
      </c>
      <c r="B52" s="1305" t="s">
        <v>28</v>
      </c>
      <c r="C52" s="1306">
        <v>6</v>
      </c>
      <c r="D52" s="1306">
        <v>595706.93157283997</v>
      </c>
      <c r="E52" s="1306">
        <v>7</v>
      </c>
      <c r="F52" s="1306">
        <v>463894.5</v>
      </c>
    </row>
    <row r="53" spans="1:6">
      <c r="A53" s="1305" t="s">
        <v>43</v>
      </c>
      <c r="B53" s="1305" t="s">
        <v>44</v>
      </c>
      <c r="C53" s="1306">
        <v>31</v>
      </c>
      <c r="D53" s="1306">
        <v>473314.25274706603</v>
      </c>
      <c r="E53" s="1306">
        <v>113</v>
      </c>
      <c r="F53" s="1306">
        <v>580946.4</v>
      </c>
    </row>
    <row r="54" spans="1:6">
      <c r="A54" s="1305" t="s">
        <v>45</v>
      </c>
      <c r="B54" s="1305" t="s">
        <v>46</v>
      </c>
      <c r="C54" s="1306">
        <v>0</v>
      </c>
      <c r="D54" s="1306">
        <v>0</v>
      </c>
      <c r="E54" s="1306">
        <v>1</v>
      </c>
      <c r="F54" s="1306">
        <v>764896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8</v>
      </c>
      <c r="D57" s="1306">
        <v>513763.56893402402</v>
      </c>
      <c r="E57" s="1306">
        <v>26</v>
      </c>
      <c r="F57" s="1306">
        <v>241367</v>
      </c>
    </row>
    <row r="58" spans="1:6">
      <c r="A58" s="1305" t="s">
        <v>48</v>
      </c>
      <c r="B58" s="1305" t="s">
        <v>50</v>
      </c>
      <c r="C58" s="1306">
        <v>4</v>
      </c>
      <c r="D58" s="1306">
        <v>102126.752260742</v>
      </c>
      <c r="E58" s="1306">
        <v>13</v>
      </c>
      <c r="F58" s="1306">
        <v>164846.79999999999</v>
      </c>
    </row>
    <row r="59" spans="1:6">
      <c r="A59" s="1305" t="s">
        <v>48</v>
      </c>
      <c r="B59" s="1305" t="s">
        <v>51</v>
      </c>
      <c r="C59" s="1306">
        <v>13</v>
      </c>
      <c r="D59" s="1306">
        <v>657304.35256260796</v>
      </c>
      <c r="E59" s="1306">
        <v>115</v>
      </c>
      <c r="F59" s="1306">
        <v>3276959</v>
      </c>
    </row>
    <row r="60" spans="1:6">
      <c r="A60" s="1305" t="s">
        <v>48</v>
      </c>
      <c r="B60" s="1305" t="s">
        <v>52</v>
      </c>
      <c r="C60" s="1306">
        <v>10</v>
      </c>
      <c r="D60" s="1306">
        <v>216170.341604646</v>
      </c>
      <c r="E60" s="1306">
        <v>36</v>
      </c>
      <c r="F60" s="1306">
        <v>1032804</v>
      </c>
    </row>
    <row r="61" spans="1:6">
      <c r="A61" s="1305" t="s">
        <v>48</v>
      </c>
      <c r="B61" s="1305" t="s">
        <v>53</v>
      </c>
      <c r="C61" s="1306">
        <v>36</v>
      </c>
      <c r="D61" s="1306">
        <v>1415345.52086651</v>
      </c>
      <c r="E61" s="1306">
        <v>135</v>
      </c>
      <c r="F61" s="1306">
        <v>1442408</v>
      </c>
    </row>
    <row r="62" spans="1:6">
      <c r="A62" s="1305" t="s">
        <v>48</v>
      </c>
      <c r="B62" s="1305" t="s">
        <v>54</v>
      </c>
      <c r="C62" s="1306">
        <v>0</v>
      </c>
      <c r="D62" s="1306">
        <v>0</v>
      </c>
      <c r="E62" s="1306">
        <v>3</v>
      </c>
      <c r="F62" s="1306">
        <v>7480.2730000000001</v>
      </c>
    </row>
    <row r="63" spans="1:6">
      <c r="A63" s="1305" t="s">
        <v>48</v>
      </c>
      <c r="B63" s="1305" t="s">
        <v>28</v>
      </c>
      <c r="C63" s="1306">
        <v>79</v>
      </c>
      <c r="D63" s="1306">
        <v>25166217.014017601</v>
      </c>
      <c r="E63" s="1306">
        <v>155</v>
      </c>
      <c r="F63" s="1306">
        <v>2979743</v>
      </c>
    </row>
    <row r="64" spans="1:6">
      <c r="A64" s="1305" t="s">
        <v>55</v>
      </c>
      <c r="B64" s="1305" t="s">
        <v>56</v>
      </c>
      <c r="C64" s="1306">
        <v>0</v>
      </c>
      <c r="D64" s="1306">
        <v>0</v>
      </c>
      <c r="E64" s="1306">
        <v>0</v>
      </c>
      <c r="F64" s="1306">
        <v>0</v>
      </c>
    </row>
    <row r="65" spans="1:6">
      <c r="A65" s="1305" t="s">
        <v>55</v>
      </c>
      <c r="B65" s="1305" t="s">
        <v>28</v>
      </c>
      <c r="C65" s="1306">
        <v>1</v>
      </c>
      <c r="D65" s="1306">
        <v>34178.902146861597</v>
      </c>
      <c r="E65" s="1306">
        <v>0</v>
      </c>
      <c r="F65" s="1306">
        <v>0</v>
      </c>
    </row>
    <row r="66" spans="1:6">
      <c r="A66" s="1305" t="s">
        <v>55</v>
      </c>
      <c r="B66" s="1305" t="s">
        <v>57</v>
      </c>
      <c r="C66" s="1306">
        <v>0</v>
      </c>
      <c r="D66" s="1306">
        <v>0</v>
      </c>
      <c r="E66" s="1306">
        <v>6</v>
      </c>
      <c r="F66" s="1306">
        <v>321719.8</v>
      </c>
    </row>
    <row r="67" spans="1:6">
      <c r="A67" s="1307" t="s">
        <v>55</v>
      </c>
      <c r="B67" s="1307" t="s">
        <v>58</v>
      </c>
      <c r="C67" s="1306">
        <v>0</v>
      </c>
      <c r="D67" s="1306">
        <v>0</v>
      </c>
      <c r="E67" s="1306">
        <v>0</v>
      </c>
      <c r="F67" s="1306">
        <v>0</v>
      </c>
    </row>
    <row r="68" spans="1:6">
      <c r="A68" s="1300" t="s">
        <v>55</v>
      </c>
      <c r="B68" s="1300" t="s">
        <v>59</v>
      </c>
      <c r="C68" s="1309">
        <v>0</v>
      </c>
      <c r="D68" s="1309">
        <v>0</v>
      </c>
      <c r="E68" s="1309">
        <v>9</v>
      </c>
      <c r="F68" s="1309">
        <v>185326.3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50994376</v>
      </c>
      <c r="E73" s="450"/>
      <c r="F73" s="330"/>
    </row>
    <row r="74" spans="1:6">
      <c r="A74" s="1305" t="s">
        <v>63</v>
      </c>
      <c r="B74" s="1305" t="s">
        <v>710</v>
      </c>
      <c r="C74" s="1319" t="s">
        <v>712</v>
      </c>
      <c r="D74" s="1320">
        <v>4296913.4893280165</v>
      </c>
      <c r="E74" s="450"/>
      <c r="F74" s="330"/>
    </row>
    <row r="75" spans="1:6">
      <c r="A75" s="1305" t="s">
        <v>64</v>
      </c>
      <c r="B75" s="1305" t="s">
        <v>709</v>
      </c>
      <c r="C75" s="1319" t="s">
        <v>713</v>
      </c>
      <c r="D75" s="1320">
        <v>13844564</v>
      </c>
      <c r="E75" s="450"/>
      <c r="F75" s="330"/>
    </row>
    <row r="76" spans="1:6">
      <c r="A76" s="1305" t="s">
        <v>64</v>
      </c>
      <c r="B76" s="1305" t="s">
        <v>710</v>
      </c>
      <c r="C76" s="1319" t="s">
        <v>714</v>
      </c>
      <c r="D76" s="1320">
        <v>349106.48932801693</v>
      </c>
      <c r="E76" s="450"/>
      <c r="F76" s="330"/>
    </row>
    <row r="77" spans="1:6">
      <c r="A77" s="1305" t="s">
        <v>65</v>
      </c>
      <c r="B77" s="1305" t="s">
        <v>709</v>
      </c>
      <c r="C77" s="1319" t="s">
        <v>715</v>
      </c>
      <c r="D77" s="1320">
        <v>171962597</v>
      </c>
      <c r="E77" s="450"/>
      <c r="F77" s="330"/>
    </row>
    <row r="78" spans="1:6">
      <c r="A78" s="1300" t="s">
        <v>65</v>
      </c>
      <c r="B78" s="1300" t="s">
        <v>710</v>
      </c>
      <c r="C78" s="1300" t="s">
        <v>716</v>
      </c>
      <c r="D78" s="1321">
        <v>45554518</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128441.02134396615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1657.6488817201855</v>
      </c>
      <c r="C91" s="330"/>
      <c r="D91" s="330"/>
      <c r="E91" s="330"/>
      <c r="F91" s="330"/>
    </row>
    <row r="92" spans="1:6">
      <c r="A92" s="1300" t="s">
        <v>68</v>
      </c>
      <c r="B92" s="1301">
        <v>5902.8608286151375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259</v>
      </c>
      <c r="C97" s="330"/>
      <c r="D97" s="330"/>
      <c r="E97" s="330"/>
      <c r="F97" s="330"/>
    </row>
    <row r="98" spans="1:6">
      <c r="A98" s="1305" t="s">
        <v>71</v>
      </c>
      <c r="B98" s="1306">
        <v>0</v>
      </c>
      <c r="C98" s="330"/>
      <c r="D98" s="330"/>
      <c r="E98" s="330"/>
      <c r="F98" s="330"/>
    </row>
    <row r="99" spans="1:6">
      <c r="A99" s="1305" t="s">
        <v>72</v>
      </c>
      <c r="B99" s="1306">
        <v>91</v>
      </c>
      <c r="C99" s="330"/>
      <c r="D99" s="330"/>
      <c r="E99" s="330"/>
      <c r="F99" s="330"/>
    </row>
    <row r="100" spans="1:6">
      <c r="A100" s="1305" t="s">
        <v>73</v>
      </c>
      <c r="B100" s="1306">
        <v>319</v>
      </c>
      <c r="C100" s="330"/>
      <c r="D100" s="330"/>
      <c r="E100" s="330"/>
      <c r="F100" s="330"/>
    </row>
    <row r="101" spans="1:6">
      <c r="A101" s="1305" t="s">
        <v>74</v>
      </c>
      <c r="B101" s="1306">
        <v>92</v>
      </c>
      <c r="C101" s="330"/>
      <c r="D101" s="330"/>
      <c r="E101" s="330"/>
      <c r="F101" s="330"/>
    </row>
    <row r="102" spans="1:6">
      <c r="A102" s="1305" t="s">
        <v>75</v>
      </c>
      <c r="B102" s="1306">
        <v>51</v>
      </c>
      <c r="C102" s="330"/>
      <c r="D102" s="330"/>
      <c r="E102" s="330"/>
      <c r="F102" s="330"/>
    </row>
    <row r="103" spans="1:6">
      <c r="A103" s="1305" t="s">
        <v>76</v>
      </c>
      <c r="B103" s="1306">
        <v>133</v>
      </c>
      <c r="C103" s="330"/>
      <c r="D103" s="330"/>
      <c r="E103" s="330"/>
      <c r="F103" s="330"/>
    </row>
    <row r="104" spans="1:6">
      <c r="A104" s="1305" t="s">
        <v>77</v>
      </c>
      <c r="B104" s="1306">
        <v>1944</v>
      </c>
      <c r="C104" s="330"/>
      <c r="D104" s="330"/>
      <c r="E104" s="330"/>
      <c r="F104" s="330"/>
    </row>
    <row r="105" spans="1:6">
      <c r="A105" s="1300" t="s">
        <v>78</v>
      </c>
      <c r="B105" s="1309">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23</v>
      </c>
      <c r="C123" s="1306">
        <v>8</v>
      </c>
      <c r="D123" s="330"/>
      <c r="E123" s="330"/>
      <c r="F123" s="330"/>
    </row>
    <row r="124" spans="1:6" s="43" customFormat="1">
      <c r="A124" s="1307" t="s">
        <v>88</v>
      </c>
      <c r="B124" s="1328">
        <v>0</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73</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12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161458.12701804144</v>
      </c>
      <c r="C3" s="43" t="s">
        <v>169</v>
      </c>
      <c r="D3" s="43"/>
      <c r="E3" s="154"/>
      <c r="F3" s="43"/>
      <c r="G3" s="43"/>
      <c r="H3" s="43"/>
      <c r="I3" s="43"/>
      <c r="J3" s="43"/>
      <c r="K3" s="96"/>
    </row>
    <row r="4" spans="1:11">
      <c r="A4" s="359" t="s">
        <v>170</v>
      </c>
      <c r="B4" s="49">
        <f>IF(ISERROR('SEAP template'!B78+'SEAP template'!C78),0,'SEAP template'!B78+'SEAP template'!C78)</f>
        <v>8703.5097103353219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271.63058823529417</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0.21076920463369284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388.04369747899159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1632.8571428571429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0.23764705882352941</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764.89599999999996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764.89599999999996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0.21076920463369284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161.2165215474931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15404.395</v>
      </c>
      <c r="C5" s="17">
        <f>IF(ISERROR('Eigen informatie GS &amp; warmtenet'!B57),0,'Eigen informatie GS &amp; warmtenet'!B57)</f>
        <v>0</v>
      </c>
      <c r="D5" s="30">
        <f>(SUM(HH_hh_gas_kWh,HH_rest_gas_kWh)/1000)*0.902</f>
        <v>11509.842006424284</v>
      </c>
      <c r="E5" s="17">
        <f>B46*B57</f>
        <v>12517.159959911114</v>
      </c>
      <c r="F5" s="17">
        <f>B51*B62</f>
        <v>31351.854313535758</v>
      </c>
      <c r="G5" s="18"/>
      <c r="H5" s="17"/>
      <c r="I5" s="17"/>
      <c r="J5" s="17">
        <f>B50*B61+C50*C61</f>
        <v>1979.3776225192173</v>
      </c>
      <c r="K5" s="17"/>
      <c r="L5" s="17"/>
      <c r="M5" s="17"/>
      <c r="N5" s="17">
        <f>B48*B59+C48*C59</f>
        <v>9125.6057704092218</v>
      </c>
      <c r="O5" s="17">
        <f>B69*B70*B71</f>
        <v>129.75666666666669</v>
      </c>
      <c r="P5" s="17">
        <f>B77*B78*B79/1000-B77*B78*B79/1000/B80</f>
        <v>667.33333333333337</v>
      </c>
    </row>
    <row r="6" spans="1:16">
      <c r="A6" s="16" t="s">
        <v>630</v>
      </c>
      <c r="B6" s="763">
        <f>kWh_PV_kleiner_dan_10kW</f>
        <v>1657.6488817201855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17062.043881720187</v>
      </c>
      <c r="C8" s="21">
        <f>C5</f>
        <v>0</v>
      </c>
      <c r="D8" s="21">
        <f>D5</f>
        <v>11509.842006424284</v>
      </c>
      <c r="E8" s="21">
        <f>E5</f>
        <v>12517.159959911114</v>
      </c>
      <c r="F8" s="21">
        <f>F5</f>
        <v>31351.854313535758</v>
      </c>
      <c r="G8" s="21"/>
      <c r="H8" s="21"/>
      <c r="I8" s="21"/>
      <c r="J8" s="21">
        <f>J5</f>
        <v>1979.3776225192173</v>
      </c>
      <c r="K8" s="21"/>
      <c r="L8" s="21">
        <f>L5</f>
        <v>0</v>
      </c>
      <c r="M8" s="21">
        <f>M5</f>
        <v>0</v>
      </c>
      <c r="N8" s="21">
        <f>N5</f>
        <v>9125.6057704092218</v>
      </c>
      <c r="O8" s="21">
        <f>O5</f>
        <v>129.75666666666669</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0.21076920463369284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3596.1534183753288</v>
      </c>
      <c r="C12" s="23">
        <f ca="1">C10*C8</f>
        <v>0</v>
      </c>
      <c r="D12" s="23">
        <f>D8*D10</f>
        <v>2324.9880852977053</v>
      </c>
      <c r="E12" s="23">
        <f>E10*E8</f>
        <v>2841.395310899823</v>
      </c>
      <c r="F12" s="23">
        <f>F10*F8</f>
        <v>8370.9451017140473</v>
      </c>
      <c r="G12" s="23"/>
      <c r="H12" s="23"/>
      <c r="I12" s="23"/>
      <c r="J12" s="23">
        <f>J10*J8</f>
        <v>700.69967837180286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259</v>
      </c>
      <c r="C18" s="166" t="s">
        <v>110</v>
      </c>
      <c r="D18" s="228"/>
      <c r="E18" s="15"/>
    </row>
    <row r="19" spans="1:7">
      <c r="A19" s="171" t="s">
        <v>71</v>
      </c>
      <c r="B19" s="37">
        <f>aantalw2001_ander</f>
        <v>0</v>
      </c>
      <c r="C19" s="166" t="s">
        <v>110</v>
      </c>
      <c r="D19" s="229"/>
      <c r="E19" s="15"/>
    </row>
    <row r="20" spans="1:7">
      <c r="A20" s="171" t="s">
        <v>72</v>
      </c>
      <c r="B20" s="37">
        <f>aantalw2001_propaan</f>
        <v>91</v>
      </c>
      <c r="C20" s="167">
        <f>IF(ISERROR(B20/SUM($B$20,$B$21,$B$22)*100),0,B20/SUM($B$20,$B$21,$B$22)*100)</f>
        <v>18.127490039840637</v>
      </c>
      <c r="D20" s="229"/>
      <c r="E20" s="15"/>
    </row>
    <row r="21" spans="1:7">
      <c r="A21" s="171" t="s">
        <v>73</v>
      </c>
      <c r="B21" s="37">
        <f>aantalw2001_elektriciteit</f>
        <v>319</v>
      </c>
      <c r="C21" s="167">
        <f>IF(ISERROR(B21/SUM($B$20,$B$21,$B$22)*100),0,B21/SUM($B$20,$B$21,$B$22)*100)</f>
        <v>63.545816733067731</v>
      </c>
      <c r="D21" s="229"/>
      <c r="E21" s="15"/>
    </row>
    <row r="22" spans="1:7">
      <c r="A22" s="171" t="s">
        <v>74</v>
      </c>
      <c r="B22" s="37">
        <f>aantalw2001_hout</f>
        <v>92</v>
      </c>
      <c r="C22" s="167">
        <f>IF(ISERROR(B22/SUM($B$20,$B$21,$B$22)*100),0,B22/SUM($B$20,$B$21,$B$22)*100)</f>
        <v>18.326693227091635</v>
      </c>
      <c r="D22" s="229"/>
      <c r="E22" s="15"/>
    </row>
    <row r="23" spans="1:7">
      <c r="A23" s="171" t="s">
        <v>75</v>
      </c>
      <c r="B23" s="37">
        <f>aantalw2001_niet_gespec</f>
        <v>51</v>
      </c>
      <c r="C23" s="166" t="s">
        <v>110</v>
      </c>
      <c r="D23" s="228"/>
      <c r="E23" s="15"/>
    </row>
    <row r="24" spans="1:7">
      <c r="A24" s="171" t="s">
        <v>76</v>
      </c>
      <c r="B24" s="37">
        <f>aantalw2001_steenkool</f>
        <v>133</v>
      </c>
      <c r="C24" s="166" t="s">
        <v>110</v>
      </c>
      <c r="D24" s="229"/>
      <c r="E24" s="15"/>
    </row>
    <row r="25" spans="1:7">
      <c r="A25" s="171" t="s">
        <v>77</v>
      </c>
      <c r="B25" s="37">
        <f>aantalw2001_stookolie</f>
        <v>1944</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736</v>
      </c>
      <c r="B28" s="37">
        <f>aantalHuishoudens</f>
        <v>3236</v>
      </c>
      <c r="C28" s="36"/>
      <c r="D28" s="228"/>
    </row>
    <row r="29" spans="1:7" s="15" customFormat="1">
      <c r="A29" s="230" t="s">
        <v>737</v>
      </c>
      <c r="B29" s="37">
        <f>SUM(HH_hh_gas_aantal,HH_rest_gas_aantal)</f>
        <v>863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863</v>
      </c>
      <c r="C32" s="167">
        <f>IF(ISERROR(B32/SUM($B$32,$B$34,$B$35,$B$36,$B$38,$B$39)*100),0,B32/SUM($B$32,$B$34,$B$35,$B$36,$B$38,$B$39)*100)</f>
        <v>26.960324898469228</v>
      </c>
      <c r="D32" s="233"/>
      <c r="G32" s="15"/>
    </row>
    <row r="33" spans="1:7">
      <c r="A33" s="171" t="s">
        <v>71</v>
      </c>
      <c r="B33" s="34" t="s">
        <v>110</v>
      </c>
      <c r="C33" s="167"/>
      <c r="D33" s="233"/>
      <c r="G33" s="15"/>
    </row>
    <row r="34" spans="1:7">
      <c r="A34" s="171" t="s">
        <v>72</v>
      </c>
      <c r="B34" s="33">
        <f>IF((($B$28-$B$32-$B$39-$B$77-$B$38)*C20/100)&lt;0,0,($B$28-$B$32-$B$39-$B$77-$B$38)*C20/100)</f>
        <v>156.80278884462149</v>
      </c>
      <c r="C34" s="167">
        <f>IF(ISERROR(B34/SUM($B$32,$B$34,$B$35,$B$36,$B$38,$B$39)*100),0,B34/SUM($B$32,$B$34,$B$35,$B$36,$B$38,$B$39)*100)</f>
        <v>4.8985563525342544</v>
      </c>
      <c r="D34" s="233"/>
      <c r="G34" s="15"/>
    </row>
    <row r="35" spans="1:7">
      <c r="A35" s="171" t="s">
        <v>73</v>
      </c>
      <c r="B35" s="33">
        <f>IF((($B$28-$B$32-$B$39-$B$77-$B$38)*C21/100)&lt;0,0,($B$28-$B$32-$B$39-$B$77-$B$38)*C21/100)</f>
        <v>549.67131474103587</v>
      </c>
      <c r="C35" s="167">
        <f>IF(ISERROR(B35/SUM($B$32,$B$34,$B$35,$B$36,$B$38,$B$39)*100),0,B35/SUM($B$32,$B$34,$B$35,$B$36,$B$38,$B$39)*100)</f>
        <v>17.171862378664038</v>
      </c>
      <c r="D35" s="233"/>
      <c r="G35" s="15"/>
    </row>
    <row r="36" spans="1:7">
      <c r="A36" s="171" t="s">
        <v>74</v>
      </c>
      <c r="B36" s="33">
        <f>IF((($B$28-$B$32-$B$39-$B$77-$B$38)*C22/100)&lt;0,0,($B$28-$B$32-$B$39-$B$77-$B$38)*C22/100)</f>
        <v>158.52589641434261</v>
      </c>
      <c r="C36" s="167">
        <f>IF(ISERROR(B36/SUM($B$32,$B$34,$B$35,$B$36,$B$38,$B$39)*100),0,B36/SUM($B$32,$B$34,$B$35,$B$36,$B$38,$B$39)*100)</f>
        <v>4.9523866421225433</v>
      </c>
      <c r="D36" s="233"/>
      <c r="G36" s="15"/>
    </row>
    <row r="37" spans="1:7">
      <c r="A37" s="171" t="s">
        <v>75</v>
      </c>
      <c r="B37" s="34" t="s">
        <v>110</v>
      </c>
      <c r="C37" s="167"/>
      <c r="D37" s="173"/>
      <c r="G37" s="15"/>
    </row>
    <row r="38" spans="1:7">
      <c r="A38" s="171" t="s">
        <v>76</v>
      </c>
      <c r="B38" s="33">
        <f>IF((B24-(B29-B18)*0.1)&lt;0,0,B24-(B29-B18)*0.1)</f>
        <v>72.599999999999994</v>
      </c>
      <c r="C38" s="167">
        <f>IF(ISERROR(B38/SUM($B$32,$B$34,$B$35,$B$36,$B$38,$B$39)*100),0,B38/SUM($B$32,$B$34,$B$35,$B$36,$B$38,$B$39)*100)</f>
        <v>2.268041237113402</v>
      </c>
      <c r="D38" s="234"/>
      <c r="G38" s="15"/>
    </row>
    <row r="39" spans="1:7">
      <c r="A39" s="171" t="s">
        <v>77</v>
      </c>
      <c r="B39" s="33">
        <f>IF((B25-(B29-B18))&lt;0,0,B25-(B29-B18)*0.9)</f>
        <v>1400.4</v>
      </c>
      <c r="C39" s="167">
        <f>IF(ISERROR(B39/SUM($B$32,$B$34,$B$35,$B$36,$B$38,$B$39)*100),0,B39/SUM($B$32,$B$34,$B$35,$B$36,$B$38,$B$39)*100)</f>
        <v>43.748828491096539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863</v>
      </c>
      <c r="C44" s="34" t="s">
        <v>110</v>
      </c>
      <c r="D44" s="174"/>
    </row>
    <row r="45" spans="1:7">
      <c r="A45" s="171" t="s">
        <v>71</v>
      </c>
      <c r="B45" s="33" t="str">
        <f t="shared" si="0"/>
        <v>-</v>
      </c>
      <c r="C45" s="34" t="s">
        <v>110</v>
      </c>
      <c r="D45" s="174"/>
    </row>
    <row r="46" spans="1:7">
      <c r="A46" s="171" t="s">
        <v>72</v>
      </c>
      <c r="B46" s="33">
        <f t="shared" si="0"/>
        <v>156.80278884462149</v>
      </c>
      <c r="C46" s="34" t="s">
        <v>110</v>
      </c>
      <c r="D46" s="174"/>
    </row>
    <row r="47" spans="1:7">
      <c r="A47" s="171" t="s">
        <v>73</v>
      </c>
      <c r="B47" s="33">
        <f t="shared" si="0"/>
        <v>549.67131474103587</v>
      </c>
      <c r="C47" s="34" t="s">
        <v>110</v>
      </c>
      <c r="D47" s="174"/>
    </row>
    <row r="48" spans="1:7">
      <c r="A48" s="171" t="s">
        <v>74</v>
      </c>
      <c r="B48" s="33">
        <f t="shared" si="0"/>
        <v>158.52589641434261</v>
      </c>
      <c r="C48" s="33">
        <f>B48*10</f>
        <v>1585.2589641434261</v>
      </c>
      <c r="D48" s="234"/>
    </row>
    <row r="49" spans="1:6">
      <c r="A49" s="171" t="s">
        <v>75</v>
      </c>
      <c r="B49" s="33" t="str">
        <f t="shared" si="0"/>
        <v>-</v>
      </c>
      <c r="C49" s="34" t="s">
        <v>110</v>
      </c>
      <c r="D49" s="234"/>
    </row>
    <row r="50" spans="1:6">
      <c r="A50" s="171" t="s">
        <v>76</v>
      </c>
      <c r="B50" s="33">
        <f t="shared" si="0"/>
        <v>72.599999999999994</v>
      </c>
      <c r="C50" s="33">
        <f>B50*2</f>
        <v>145.19999999999999</v>
      </c>
      <c r="D50" s="234"/>
    </row>
    <row r="51" spans="1:6">
      <c r="A51" s="171" t="s">
        <v>77</v>
      </c>
      <c r="B51" s="33">
        <f t="shared" si="0"/>
        <v>1400.4</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9145.6080730000012</v>
      </c>
      <c r="C5" s="17">
        <f>IF(ISERROR('Eigen informatie GS &amp; warmtenet'!B58),0,'Eigen informatie GS &amp; warmtenet'!B58)</f>
        <v>0</v>
      </c>
      <c r="D5" s="30">
        <f>SUM(D6:D12)</f>
        <v>25319.976650322009</v>
      </c>
      <c r="E5" s="17">
        <f>SUM(E6:E12)</f>
        <v>110.63424234709106</v>
      </c>
      <c r="F5" s="17">
        <f>SUM(F6:F12)</f>
        <v>1324.5446394511262</v>
      </c>
      <c r="G5" s="18"/>
      <c r="H5" s="17"/>
      <c r="I5" s="17"/>
      <c r="J5" s="17">
        <f>SUM(J6:J12)</f>
        <v>0</v>
      </c>
      <c r="K5" s="17"/>
      <c r="L5" s="17"/>
      <c r="M5" s="17"/>
      <c r="N5" s="17">
        <f>SUM(N6:N12)</f>
        <v>466.77794332540338</v>
      </c>
      <c r="O5" s="17">
        <f>B38*B39*B40</f>
        <v>4.6900000000000004</v>
      </c>
      <c r="P5" s="17">
        <f>B46*B47*B48/1000-B46*B47*B48/1000/B49</f>
        <v>38.133333333333333</v>
      </c>
      <c r="R5" s="32"/>
    </row>
    <row r="6" spans="1:18">
      <c r="A6" s="32" t="s">
        <v>53</v>
      </c>
      <c r="B6" s="37">
        <f>B26</f>
        <v>1442.4079999999999</v>
      </c>
      <c r="C6" s="33"/>
      <c r="D6" s="37">
        <f>IF(ISERROR(TER_kantoor_gas_kWh/1000),0,TER_kantoor_gas_kWh/1000)*0.902</f>
        <v>1276.6416598215922</v>
      </c>
      <c r="E6" s="33">
        <f>$C$26*'E Balans VL '!I12/100/3.6*1000000</f>
        <v>4.1788676072613455</v>
      </c>
      <c r="F6" s="33">
        <f>$C$26*('E Balans VL '!L12+'E Balans VL '!N12)/100/3.6*1000000</f>
        <v>163.24880688788195</v>
      </c>
      <c r="G6" s="34"/>
      <c r="H6" s="33"/>
      <c r="I6" s="33"/>
      <c r="J6" s="33">
        <f>$C$26*('E Balans VL '!D12+'E Balans VL '!E12)/100/3.6*1000000</f>
        <v>0</v>
      </c>
      <c r="K6" s="33"/>
      <c r="L6" s="33"/>
      <c r="M6" s="33"/>
      <c r="N6" s="33">
        <f>$C$26*'E Balans VL '!Y12/100/3.6*1000000</f>
        <v>14.43744126633228</v>
      </c>
      <c r="O6" s="33"/>
      <c r="P6" s="33"/>
      <c r="R6" s="32"/>
    </row>
    <row r="7" spans="1:18">
      <c r="A7" s="32" t="s">
        <v>52</v>
      </c>
      <c r="B7" s="37">
        <f t="shared" ref="B7:B12" si="0">B27</f>
        <v>1032.8040000000001</v>
      </c>
      <c r="C7" s="33"/>
      <c r="D7" s="37">
        <f>IF(ISERROR(TER_horeca_gas_kWh/1000),0,TER_horeca_gas_kWh/1000)*0.902</f>
        <v>194.9856481273907</v>
      </c>
      <c r="E7" s="33">
        <f>$C$27*'E Balans VL '!I9/100/3.6*1000000</f>
        <v>43.354226322654469</v>
      </c>
      <c r="F7" s="33">
        <f>$C$27*('E Balans VL '!L9+'E Balans VL '!N9)/100/3.6*1000000</f>
        <v>221.919119040781</v>
      </c>
      <c r="G7" s="34"/>
      <c r="H7" s="33"/>
      <c r="I7" s="33"/>
      <c r="J7" s="33">
        <f>$C$27*('E Balans VL '!D9+'E Balans VL '!E9)/100/3.6*1000000</f>
        <v>0</v>
      </c>
      <c r="K7" s="33"/>
      <c r="L7" s="33"/>
      <c r="M7" s="33"/>
      <c r="N7" s="33">
        <f>$C$27*'E Balans VL '!Y9/100/3.6*1000000</f>
        <v>0.26614455860135616</v>
      </c>
      <c r="O7" s="33"/>
      <c r="P7" s="33"/>
      <c r="R7" s="32"/>
    </row>
    <row r="8" spans="1:18">
      <c r="A8" s="6" t="s">
        <v>51</v>
      </c>
      <c r="B8" s="37">
        <f t="shared" si="0"/>
        <v>3276.9589999999998</v>
      </c>
      <c r="C8" s="33"/>
      <c r="D8" s="37">
        <f>IF(ISERROR(TER_handel_gas_kWh/1000),0,TER_handel_gas_kWh/1000)*0.902</f>
        <v>592.88852601147244</v>
      </c>
      <c r="E8" s="33">
        <f>$C$28*'E Balans VL '!I13/100/3.6*1000000</f>
        <v>35.19726699544686</v>
      </c>
      <c r="F8" s="33">
        <f>$C$28*('E Balans VL '!L13+'E Balans VL '!N13)/100/3.6*1000000</f>
        <v>424.22940311957399</v>
      </c>
      <c r="G8" s="34"/>
      <c r="H8" s="33"/>
      <c r="I8" s="33"/>
      <c r="J8" s="33">
        <f>$C$28*('E Balans VL '!D13+'E Balans VL '!E13)/100/3.6*1000000</f>
        <v>0</v>
      </c>
      <c r="K8" s="33"/>
      <c r="L8" s="33"/>
      <c r="M8" s="33"/>
      <c r="N8" s="33">
        <f>$C$28*'E Balans VL '!Y13/100/3.6*1000000</f>
        <v>26.582870337741181</v>
      </c>
      <c r="O8" s="33"/>
      <c r="P8" s="33"/>
      <c r="R8" s="32"/>
    </row>
    <row r="9" spans="1:18">
      <c r="A9" s="32" t="s">
        <v>50</v>
      </c>
      <c r="B9" s="37">
        <f t="shared" si="0"/>
        <v>164.8468</v>
      </c>
      <c r="C9" s="33"/>
      <c r="D9" s="37">
        <f>IF(ISERROR(TER_gezond_gas_kWh/1000),0,TER_gezond_gas_kWh/1000)*0.902</f>
        <v>92.118330539189287</v>
      </c>
      <c r="E9" s="33">
        <f>$C$29*'E Balans VL '!I10/100/3.6*1000000</f>
        <v>0.13122871480538043</v>
      </c>
      <c r="F9" s="33">
        <f>$C$29*('E Balans VL '!L10+'E Balans VL '!N10)/100/3.6*1000000</f>
        <v>20.039510790830299</v>
      </c>
      <c r="G9" s="34"/>
      <c r="H9" s="33"/>
      <c r="I9" s="33"/>
      <c r="J9" s="33">
        <f>$C$29*('E Balans VL '!D10+'E Balans VL '!E10)/100/3.6*1000000</f>
        <v>0</v>
      </c>
      <c r="K9" s="33"/>
      <c r="L9" s="33"/>
      <c r="M9" s="33"/>
      <c r="N9" s="33">
        <f>$C$29*'E Balans VL '!Y10/100/3.6*1000000</f>
        <v>1.3315887771098369</v>
      </c>
      <c r="O9" s="33"/>
      <c r="P9" s="33"/>
      <c r="R9" s="32"/>
    </row>
    <row r="10" spans="1:18">
      <c r="A10" s="32" t="s">
        <v>49</v>
      </c>
      <c r="B10" s="37">
        <f t="shared" si="0"/>
        <v>241.36699999999999</v>
      </c>
      <c r="C10" s="33"/>
      <c r="D10" s="37">
        <f>IF(ISERROR(TER_ander_gas_kWh/1000),0,TER_ander_gas_kWh/1000)*0.902</f>
        <v>463.41473917848964</v>
      </c>
      <c r="E10" s="33">
        <f>$C$30*'E Balans VL '!I14/100/3.6*1000000</f>
        <v>0.82717738879680824</v>
      </c>
      <c r="F10" s="33">
        <f>$C$30*('E Balans VL '!L14+'E Balans VL '!N14)/100/3.6*1000000</f>
        <v>53.911579800468033</v>
      </c>
      <c r="G10" s="34"/>
      <c r="H10" s="33"/>
      <c r="I10" s="33"/>
      <c r="J10" s="33">
        <f>$C$30*('E Balans VL '!D14+'E Balans VL '!E14)/100/3.6*1000000</f>
        <v>0</v>
      </c>
      <c r="K10" s="33"/>
      <c r="L10" s="33"/>
      <c r="M10" s="33"/>
      <c r="N10" s="33">
        <f>$C$30*'E Balans VL '!Y14/100/3.6*1000000</f>
        <v>170.02023336214668</v>
      </c>
      <c r="O10" s="33"/>
      <c r="P10" s="33"/>
      <c r="R10" s="32"/>
    </row>
    <row r="11" spans="1:18">
      <c r="A11" s="32" t="s">
        <v>54</v>
      </c>
      <c r="B11" s="37">
        <f t="shared" si="0"/>
        <v>7.4802730000000004</v>
      </c>
      <c r="C11" s="33"/>
      <c r="D11" s="37">
        <f>IF(ISERROR(TER_onderwijs_gas_kWh/1000),0,TER_onderwijs_gas_kWh/1000)*0.902</f>
        <v>0</v>
      </c>
      <c r="E11" s="33">
        <f>$C$31*'E Balans VL '!I11/100/3.6*1000000</f>
        <v>5.1708823506223418E-3</v>
      </c>
      <c r="F11" s="33">
        <f>$C$31*('E Balans VL '!L11+'E Balans VL '!N11)/100/3.6*1000000</f>
        <v>1.9581181842126398</v>
      </c>
      <c r="G11" s="34"/>
      <c r="H11" s="33"/>
      <c r="I11" s="33"/>
      <c r="J11" s="33">
        <f>$C$31*('E Balans VL '!D11+'E Balans VL '!E11)/100/3.6*1000000</f>
        <v>0</v>
      </c>
      <c r="K11" s="33"/>
      <c r="L11" s="33"/>
      <c r="M11" s="33"/>
      <c r="N11" s="33">
        <f>$C$31*'E Balans VL '!Y11/100/3.6*1000000</f>
        <v>7.445974651546481E-3</v>
      </c>
      <c r="O11" s="33"/>
      <c r="P11" s="33"/>
      <c r="R11" s="32"/>
    </row>
    <row r="12" spans="1:18">
      <c r="A12" s="32" t="s">
        <v>259</v>
      </c>
      <c r="B12" s="37">
        <f t="shared" si="0"/>
        <v>2979.7429999999999</v>
      </c>
      <c r="C12" s="33"/>
      <c r="D12" s="37">
        <f>IF(ISERROR(TER_rest_gas_kWh/1000),0,TER_rest_gas_kWh/1000)*0.902</f>
        <v>22699.927746643876</v>
      </c>
      <c r="E12" s="33">
        <f>$C$32*'E Balans VL '!I8/100/3.6*1000000</f>
        <v>26.94030443577558</v>
      </c>
      <c r="F12" s="33">
        <f>$C$32*('E Balans VL '!L8+'E Balans VL '!N8)/100/3.6*1000000</f>
        <v>439.23810162737823</v>
      </c>
      <c r="G12" s="34"/>
      <c r="H12" s="33"/>
      <c r="I12" s="33"/>
      <c r="J12" s="33">
        <f>$C$32*('E Balans VL '!D8+'E Balans VL '!E8)/100/3.6*1000000</f>
        <v>0</v>
      </c>
      <c r="K12" s="33"/>
      <c r="L12" s="33"/>
      <c r="M12" s="33"/>
      <c r="N12" s="33">
        <f>$C$32*'E Balans VL '!Y8/100/3.6*1000000</f>
        <v>254.1322190488205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9145.6080730000012</v>
      </c>
      <c r="C16" s="21">
        <f t="shared" ca="1" si="1"/>
        <v>0</v>
      </c>
      <c r="D16" s="21">
        <f t="shared" ca="1" si="1"/>
        <v>25319.976650322009</v>
      </c>
      <c r="E16" s="21">
        <f t="shared" si="1"/>
        <v>110.63424234709106</v>
      </c>
      <c r="F16" s="21">
        <f t="shared" ca="1" si="1"/>
        <v>1324.5446394511262</v>
      </c>
      <c r="G16" s="21">
        <f t="shared" si="1"/>
        <v>0</v>
      </c>
      <c r="H16" s="21">
        <f t="shared" si="1"/>
        <v>0</v>
      </c>
      <c r="I16" s="21">
        <f t="shared" si="1"/>
        <v>0</v>
      </c>
      <c r="J16" s="21">
        <f t="shared" si="1"/>
        <v>0</v>
      </c>
      <c r="K16" s="21">
        <f t="shared" si="1"/>
        <v>0</v>
      </c>
      <c r="L16" s="21">
        <f t="shared" ca="1" si="1"/>
        <v>0</v>
      </c>
      <c r="M16" s="21">
        <f t="shared" si="1"/>
        <v>0</v>
      </c>
      <c r="N16" s="21">
        <f t="shared" ca="1" si="1"/>
        <v>466.77794332540338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0.21076920463369284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1927.6125394376904</v>
      </c>
      <c r="C20" s="23">
        <f t="shared" ref="C20:P20" ca="1" si="2">C16*C18</f>
        <v>0</v>
      </c>
      <c r="D20" s="23">
        <f t="shared" ca="1" si="2"/>
        <v>5114.6352833650462</v>
      </c>
      <c r="E20" s="23">
        <f t="shared" si="2"/>
        <v>25.113973012789671</v>
      </c>
      <c r="F20" s="23">
        <f t="shared" ca="1" si="2"/>
        <v>353.65341873345068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1442.4079999999999</v>
      </c>
      <c r="C26" s="39">
        <f>IF(ISERROR(B26*3.6/1000000/'E Balans VL '!Z12*100),0,B26*3.6/1000000/'E Balans VL '!Z12*100)</f>
        <v>3.168415931063593E-2</v>
      </c>
      <c r="D26" s="237" t="s">
        <v>691</v>
      </c>
      <c r="F26" s="6"/>
    </row>
    <row r="27" spans="1:18">
      <c r="A27" s="231" t="s">
        <v>52</v>
      </c>
      <c r="B27" s="33">
        <f>IF(ISERROR(TER_horeca_ele_kWh/1000),0,TER_horeca_ele_kWh/1000)</f>
        <v>1032.8040000000001</v>
      </c>
      <c r="C27" s="39">
        <f>IF(ISERROR(B27*3.6/1000000/'E Balans VL '!Z9*100),0,B27*3.6/1000000/'E Balans VL '!Z9*100)</f>
        <v>8.29960965118684E-2</v>
      </c>
      <c r="D27" s="237" t="s">
        <v>691</v>
      </c>
      <c r="F27" s="6"/>
    </row>
    <row r="28" spans="1:18">
      <c r="A28" s="171" t="s">
        <v>51</v>
      </c>
      <c r="B28" s="33">
        <f>IF(ISERROR(TER_handel_ele_kWh/1000),0,TER_handel_ele_kWh/1000)</f>
        <v>3276.9589999999998</v>
      </c>
      <c r="C28" s="39">
        <f>IF(ISERROR(B28*3.6/1000000/'E Balans VL '!Z13*100),0,B28*3.6/1000000/'E Balans VL '!Z13*100)</f>
        <v>9.6897388298374493E-2</v>
      </c>
      <c r="D28" s="237" t="s">
        <v>691</v>
      </c>
      <c r="F28" s="6"/>
    </row>
    <row r="29" spans="1:18">
      <c r="A29" s="231" t="s">
        <v>50</v>
      </c>
      <c r="B29" s="33">
        <f>IF(ISERROR(TER_gezond_ele_kWh/1000),0,TER_gezond_ele_kWh/1000)</f>
        <v>164.8468</v>
      </c>
      <c r="C29" s="39">
        <f>IF(ISERROR(B29*3.6/1000000/'E Balans VL '!Z10*100),0,B29*3.6/1000000/'E Balans VL '!Z10*100)</f>
        <v>1.8573978390788635E-2</v>
      </c>
      <c r="D29" s="237" t="s">
        <v>691</v>
      </c>
      <c r="F29" s="6"/>
    </row>
    <row r="30" spans="1:18">
      <c r="A30" s="231" t="s">
        <v>49</v>
      </c>
      <c r="B30" s="33">
        <f>IF(ISERROR(TER_ander_ele_kWh/1000),0,TER_ander_ele_kWh/1000)</f>
        <v>241.36699999999999</v>
      </c>
      <c r="C30" s="39">
        <f>IF(ISERROR(B30*3.6/1000000/'E Balans VL '!Z14*100),0,B30*3.6/1000000/'E Balans VL '!Z14*100)</f>
        <v>1.825417361175059E-2</v>
      </c>
      <c r="D30" s="237" t="s">
        <v>691</v>
      </c>
      <c r="F30" s="6"/>
    </row>
    <row r="31" spans="1:18">
      <c r="A31" s="231" t="s">
        <v>54</v>
      </c>
      <c r="B31" s="33">
        <f>IF(ISERROR(TER_onderwijs_ele_kWh/1000),0,TER_onderwijs_ele_kWh/1000)</f>
        <v>7.4802730000000004</v>
      </c>
      <c r="C31" s="39">
        <f>IF(ISERROR(B31*3.6/1000000/'E Balans VL '!Z11*100),0,B31*3.6/1000000/'E Balans VL '!Z11*100)</f>
        <v>1.5527310277170482E-3</v>
      </c>
      <c r="D31" s="237" t="s">
        <v>691</v>
      </c>
    </row>
    <row r="32" spans="1:18">
      <c r="A32" s="231" t="s">
        <v>259</v>
      </c>
      <c r="B32" s="33">
        <f>IF(ISERROR(TER_rest_ele_kWh/1000),0,TER_rest_ele_kWh/1000)</f>
        <v>2979.7429999999999</v>
      </c>
      <c r="C32" s="39">
        <f>IF(ISERROR(B32*3.6/1000000/'E Balans VL '!Z8*100),0,B32*3.6/1000000/'E Balans VL '!Z8*100)</f>
        <v>2.5102581851555224E-2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130114.102</v>
      </c>
      <c r="C5" s="17">
        <f>IF(ISERROR('Eigen informatie GS &amp; warmtenet'!B59),0,'Eigen informatie GS &amp; warmtenet'!B59)</f>
        <v>0</v>
      </c>
      <c r="D5" s="30">
        <f>SUM(D6:D15)</f>
        <v>122855.28322976049</v>
      </c>
      <c r="E5" s="17">
        <f>SUM(E6:E15)</f>
        <v>6396.2886674163856</v>
      </c>
      <c r="F5" s="17">
        <f>SUM(F6:F15)</f>
        <v>49636.808815415308</v>
      </c>
      <c r="G5" s="18"/>
      <c r="H5" s="17"/>
      <c r="I5" s="17"/>
      <c r="J5" s="17">
        <f>SUM(J6:J15)</f>
        <v>760.69003099732572</v>
      </c>
      <c r="K5" s="17"/>
      <c r="L5" s="17"/>
      <c r="M5" s="17"/>
      <c r="N5" s="17">
        <f>SUM(N6:N15)</f>
        <v>12610.015227840322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926.29100000000005</v>
      </c>
      <c r="C8" s="33"/>
      <c r="D8" s="37">
        <f>IF( ISERROR(IND_metaal_Gas_kWH/1000),0,IND_metaal_Gas_kWH/1000)*0.902</f>
        <v>0</v>
      </c>
      <c r="E8" s="33">
        <f>C30*'E Balans VL '!I18/100/3.6*1000000</f>
        <v>23.181821780954234</v>
      </c>
      <c r="F8" s="33">
        <f>C30*'E Balans VL '!L18/100/3.6*1000000+C30*'E Balans VL '!N18/100/3.6*1000000</f>
        <v>290.30420700839397</v>
      </c>
      <c r="G8" s="34"/>
      <c r="H8" s="33"/>
      <c r="I8" s="33"/>
      <c r="J8" s="40">
        <f>C30*'E Balans VL '!D18/100/3.6*1000000+C30*'E Balans VL '!E18/100/3.6*1000000</f>
        <v>0</v>
      </c>
      <c r="K8" s="33"/>
      <c r="L8" s="33"/>
      <c r="M8" s="33"/>
      <c r="N8" s="33">
        <f>C30*'E Balans VL '!Y18/100/3.6*1000000</f>
        <v>23.27083385476973</v>
      </c>
      <c r="O8" s="33"/>
      <c r="P8" s="33"/>
      <c r="R8" s="32"/>
    </row>
    <row r="9" spans="1:18">
      <c r="A9" s="6" t="s">
        <v>32</v>
      </c>
      <c r="B9" s="37">
        <f t="shared" si="0"/>
        <v>1461.6990000000001</v>
      </c>
      <c r="C9" s="33"/>
      <c r="D9" s="37">
        <f>IF( ISERROR(IND_andere_gas_kWh/1000),0,IND_andere_gas_kWh/1000)*0.902</f>
        <v>216.99220766716707</v>
      </c>
      <c r="E9" s="33">
        <f>C31*'E Balans VL '!I19/100/3.6*1000000</f>
        <v>401.90727333425298</v>
      </c>
      <c r="F9" s="33">
        <f>C31*'E Balans VL '!L19/100/3.6*1000000+C31*'E Balans VL '!N19/100/3.6*1000000</f>
        <v>1152.0731658880904</v>
      </c>
      <c r="G9" s="34"/>
      <c r="H9" s="33"/>
      <c r="I9" s="33"/>
      <c r="J9" s="40">
        <f>C31*'E Balans VL '!D19/100/3.6*1000000+C31*'E Balans VL '!E19/100/3.6*1000000</f>
        <v>0</v>
      </c>
      <c r="K9" s="33"/>
      <c r="L9" s="33"/>
      <c r="M9" s="33"/>
      <c r="N9" s="33">
        <f>C31*'E Balans VL '!Y19/100/3.6*1000000</f>
        <v>117.75539253762487</v>
      </c>
      <c r="O9" s="33"/>
      <c r="P9" s="33"/>
      <c r="R9" s="32"/>
    </row>
    <row r="10" spans="1:18">
      <c r="A10" s="6" t="s">
        <v>40</v>
      </c>
      <c r="B10" s="37">
        <f t="shared" si="0"/>
        <v>11625.115</v>
      </c>
      <c r="C10" s="33"/>
      <c r="D10" s="37">
        <f>IF( ISERROR(IND_voed_gas_kWh/1000),0,IND_voed_gas_kWh/1000)*0.902</f>
        <v>31.908252587772512</v>
      </c>
      <c r="E10" s="33">
        <f>C32*'E Balans VL '!I20/100/3.6*1000000</f>
        <v>118.51164311260334</v>
      </c>
      <c r="F10" s="33">
        <f>C32*'E Balans VL '!L20/100/3.6*1000000+C32*'E Balans VL '!N20/100/3.6*1000000</f>
        <v>21959.769526924258</v>
      </c>
      <c r="G10" s="34"/>
      <c r="H10" s="33"/>
      <c r="I10" s="33"/>
      <c r="J10" s="40">
        <f>C32*'E Balans VL '!D20/100/3.6*1000000+C32*'E Balans VL '!E20/100/3.6*1000000</f>
        <v>278.22703949849108</v>
      </c>
      <c r="K10" s="33"/>
      <c r="L10" s="33"/>
      <c r="M10" s="33"/>
      <c r="N10" s="33">
        <f>C32*'E Balans VL '!Y20/100/3.6*1000000</f>
        <v>6127.7746540490298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1100.9970000000001</v>
      </c>
      <c r="C13" s="33"/>
      <c r="D13" s="37">
        <f>IF( ISERROR(IND_papier_gas_kWh/1000),0,IND_papier_gas_kWh/1000)*0.902</f>
        <v>0</v>
      </c>
      <c r="E13" s="33">
        <f>C35*'E Balans VL '!I23/100/3.6*1000000</f>
        <v>2.280239102508014</v>
      </c>
      <c r="F13" s="33">
        <f>C35*'E Balans VL '!L23/100/3.6*1000000+C35*'E Balans VL '!N23/100/3.6*1000000</f>
        <v>21.835130859965542</v>
      </c>
      <c r="G13" s="34"/>
      <c r="H13" s="33"/>
      <c r="I13" s="33"/>
      <c r="J13" s="40">
        <f>C35*'E Balans VL '!D23/100/3.6*1000000+C35*'E Balans VL '!E23/100/3.6*1000000</f>
        <v>0</v>
      </c>
      <c r="K13" s="33"/>
      <c r="L13" s="33"/>
      <c r="M13" s="33"/>
      <c r="N13" s="33">
        <f>C35*'E Balans VL '!Y23/100/3.6*1000000</f>
        <v>76.359706990940794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115000</v>
      </c>
      <c r="C15" s="33"/>
      <c r="D15" s="37">
        <f>IF( ISERROR(IND_rest_gas_kWh/1000),0,IND_rest_gas_kWh/1000)*0.902</f>
        <v>122606.38276950555</v>
      </c>
      <c r="E15" s="33">
        <f>C37*'E Balans VL '!I15/100/3.6*1000000</f>
        <v>5850.4076900860673</v>
      </c>
      <c r="F15" s="33">
        <f>C37*'E Balans VL '!L15/100/3.6*1000000+C37*'E Balans VL '!N15/100/3.6*1000000</f>
        <v>26212.8267847346</v>
      </c>
      <c r="G15" s="34"/>
      <c r="H15" s="33"/>
      <c r="I15" s="33"/>
      <c r="J15" s="40">
        <f>C37*'E Balans VL '!D15/100/3.6*1000000+C37*'E Balans VL '!E15/100/3.6*1000000</f>
        <v>482.46299149883464</v>
      </c>
      <c r="K15" s="33"/>
      <c r="L15" s="33"/>
      <c r="M15" s="33"/>
      <c r="N15" s="33">
        <f>C37*'E Balans VL '!Y15/100/3.6*1000000</f>
        <v>6264.8546404079561</v>
      </c>
      <c r="O15" s="33"/>
      <c r="P15" s="33"/>
      <c r="R15" s="32"/>
    </row>
    <row r="16" spans="1:18">
      <c r="A16" s="16" t="s">
        <v>493</v>
      </c>
      <c r="B16" s="247">
        <f>'lokale energieproductie'!N37+'lokale energieproductie'!N30</f>
        <v>1143</v>
      </c>
      <c r="C16" s="247">
        <f>'lokale energieproductie'!O37+'lokale energieproductie'!O30</f>
        <v>1632.8571428571429</v>
      </c>
      <c r="D16" s="308">
        <f>('lokale energieproductie'!P30+'lokale energieproductie'!P37)*(-1)</f>
        <v>-3265.7142857142858</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131257.10200000001</v>
      </c>
      <c r="C18" s="21">
        <f>C5+C16</f>
        <v>1632.8571428571429</v>
      </c>
      <c r="D18" s="21">
        <f>MAX((D5+D16),0)</f>
        <v>119589.5689440462</v>
      </c>
      <c r="E18" s="21">
        <f>MAX((E5+E16),0)</f>
        <v>6396.2886674163856</v>
      </c>
      <c r="F18" s="21">
        <f>MAX((F5+F16),0)</f>
        <v>49636.808815415308</v>
      </c>
      <c r="G18" s="21"/>
      <c r="H18" s="21"/>
      <c r="I18" s="21"/>
      <c r="J18" s="21">
        <f>MAX((J5+J16),0)</f>
        <v>760.69003099732572</v>
      </c>
      <c r="K18" s="21"/>
      <c r="L18" s="21">
        <f>MAX((L5+L16),0)</f>
        <v>0</v>
      </c>
      <c r="M18" s="21"/>
      <c r="N18" s="21">
        <f>MAX((N5+N16),0)</f>
        <v>12610.015227840322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0.21076920463369284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27664.954991063496</v>
      </c>
      <c r="C22" s="23">
        <f ca="1">C18*C20</f>
        <v>388.04369747899159</v>
      </c>
      <c r="D22" s="23">
        <f>D18*D20</f>
        <v>24157.092926697333</v>
      </c>
      <c r="E22" s="23">
        <f>E18*E20</f>
        <v>1451.9575275035195</v>
      </c>
      <c r="F22" s="23">
        <f>F18*F20</f>
        <v>13253.027953715888</v>
      </c>
      <c r="G22" s="23"/>
      <c r="H22" s="23"/>
      <c r="I22" s="23"/>
      <c r="J22" s="23">
        <f>J18*J20</f>
        <v>269.28427097305331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926.29100000000005</v>
      </c>
      <c r="C30" s="39">
        <f>IF(ISERROR(B30*3.6/1000000/'E Balans VL '!Z18*100),0,B30*3.6/1000000/'E Balans VL '!Z18*100)</f>
        <v>0.12964987101140588</v>
      </c>
      <c r="D30" s="237" t="s">
        <v>691</v>
      </c>
    </row>
    <row r="31" spans="1:18">
      <c r="A31" s="6" t="s">
        <v>32</v>
      </c>
      <c r="B31" s="37">
        <f>IF( ISERROR(IND_ander_ele_kWh/1000),0,IND_ander_ele_kWh/1000)</f>
        <v>1461.6990000000001</v>
      </c>
      <c r="C31" s="39">
        <f>IF(ISERROR(B31*3.6/1000000/'E Balans VL '!Z19*100),0,B31*3.6/1000000/'E Balans VL '!Z19*100)</f>
        <v>6.3978328108733357E-2</v>
      </c>
      <c r="D31" s="237" t="s">
        <v>691</v>
      </c>
    </row>
    <row r="32" spans="1:18">
      <c r="A32" s="171" t="s">
        <v>40</v>
      </c>
      <c r="B32" s="37">
        <f>IF( ISERROR(IND_voed_ele_kWh/1000),0,IND_voed_ele_kWh/1000)</f>
        <v>11625.115</v>
      </c>
      <c r="C32" s="39">
        <f>IF(ISERROR(B32*3.6/1000000/'E Balans VL '!Z20*100),0,B32*3.6/1000000/'E Balans VL '!Z20*100)</f>
        <v>2.8779924229730023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1100.9970000000001</v>
      </c>
      <c r="C35" s="39">
        <f>IF(ISERROR(B35*3.6/1000000/'E Balans VL '!Z22*100),0,B35*3.6/1000000/'E Balans VL '!Z22*100)</f>
        <v>3.1241803033650761E-2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115000</v>
      </c>
      <c r="C37" s="39">
        <f>IF(ISERROR(B37*3.6/1000000/'E Balans VL '!Z15*100),0,B37*3.6/1000000/'E Balans VL '!Z15*100)</f>
        <v>0.85270531116683856</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2620.7384999999999</v>
      </c>
      <c r="C5" s="17">
        <f>'Eigen informatie GS &amp; warmtenet'!B60</f>
        <v>0</v>
      </c>
      <c r="D5" s="30">
        <f>IF(ISERROR(SUM(LB_lb_gas_kWh,LB_rest_gas_kWh)/1000),0,SUM(LB_lb_gas_kWh,LB_rest_gas_kWh)/1000)*0.902</f>
        <v>537.32765227870163</v>
      </c>
      <c r="E5" s="17">
        <f>B17*'E Balans VL '!I25/3.6*1000000/100</f>
        <v>24.274377653183382</v>
      </c>
      <c r="F5" s="17">
        <f>B17*('E Balans VL '!L25/3.6*1000000+'E Balans VL '!N25/3.6*1000000)/100</f>
        <v>6649.3128246719089</v>
      </c>
      <c r="G5" s="18"/>
      <c r="H5" s="17"/>
      <c r="I5" s="17"/>
      <c r="J5" s="17">
        <f>('E Balans VL '!D25+'E Balans VL '!E25)/3.6*1000000*landbouw!B17/100</f>
        <v>401.78845957702163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2620.7384999999999</v>
      </c>
      <c r="C8" s="21">
        <f>C5+C6</f>
        <v>0</v>
      </c>
      <c r="D8" s="21">
        <f>MAX((D5+D6),0)</f>
        <v>537.32765227870163</v>
      </c>
      <c r="E8" s="21">
        <f>MAX((E5+E6),0)</f>
        <v>24.274377653183382</v>
      </c>
      <c r="F8" s="21">
        <f>MAX((F5+F6),0)</f>
        <v>6649.3128246719089</v>
      </c>
      <c r="G8" s="21"/>
      <c r="H8" s="21"/>
      <c r="I8" s="21"/>
      <c r="J8" s="21">
        <f>MAX((J5+J6),0)</f>
        <v>401.78845957702163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0.21076920463369284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552.37096919789724</v>
      </c>
      <c r="C12" s="23">
        <f ca="1">C8*C10</f>
        <v>0</v>
      </c>
      <c r="D12" s="23">
        <f>D8*D10</f>
        <v>108.54018576029773</v>
      </c>
      <c r="E12" s="23">
        <f>E8*E10</f>
        <v>5.5102837272726282</v>
      </c>
      <c r="F12" s="23">
        <f>F8*F10</f>
        <v>1775.3665241873998</v>
      </c>
      <c r="G12" s="23"/>
      <c r="H12" s="23"/>
      <c r="I12" s="23"/>
      <c r="J12" s="23">
        <f>J8*J10</f>
        <v>142.23311469026564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0.37261344543870484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395.23566677681941</v>
      </c>
      <c r="C26" s="247">
        <f>B26*'GWP N2O_CH4'!B5</f>
        <v>8299.9490023132075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141.69202452136474</v>
      </c>
      <c r="C27" s="247">
        <f>B27*'GWP N2O_CH4'!B5</f>
        <v>2975.5325149486598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5.6294786632101488</v>
      </c>
      <c r="C28" s="247">
        <f>B28*'GWP N2O_CH4'!B4</f>
        <v>1745.138385595146</v>
      </c>
      <c r="D28" s="50"/>
    </row>
    <row r="29" spans="1:4">
      <c r="A29" s="41" t="s">
        <v>276</v>
      </c>
      <c r="B29" s="247">
        <f>B34*'ha_N2O bodem landbouw'!B4</f>
        <v>20.475001647493944</v>
      </c>
      <c r="C29" s="247">
        <f>B29*'GWP N2O_CH4'!B4</f>
        <v>6347.2505107231227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4.5921821550741161E-3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9.6451787956469036E-5</v>
      </c>
      <c r="C5" s="438" t="s">
        <v>210</v>
      </c>
      <c r="D5" s="423">
        <f>SUM(D6:D11)</f>
        <v>1.7685056134831667E-4</v>
      </c>
      <c r="E5" s="423">
        <f>SUM(E6:E11)</f>
        <v>2.0002146537718849E-3</v>
      </c>
      <c r="F5" s="436" t="s">
        <v>210</v>
      </c>
      <c r="G5" s="423">
        <f>SUM(G6:G11)</f>
        <v>0.88401066787668581</v>
      </c>
      <c r="H5" s="423">
        <f>SUM(H6:H11)</f>
        <v>0.11144274506112226</v>
      </c>
      <c r="I5" s="438" t="s">
        <v>210</v>
      </c>
      <c r="J5" s="438" t="s">
        <v>210</v>
      </c>
      <c r="K5" s="438" t="s">
        <v>210</v>
      </c>
      <c r="L5" s="438" t="s">
        <v>210</v>
      </c>
      <c r="M5" s="423">
        <f>SUM(M6:M11)</f>
        <v>5.4651742336374466E-2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2.0770552434904397E-5</v>
      </c>
      <c r="C6" s="424"/>
      <c r="D6" s="866">
        <f>vkm_GW_PW*SUMIFS(TableVerdeelsleutelVkm[CNG],TableVerdeelsleutelVkm[Voertuigtype],"Lichte voertuigen")*SUMIFS(TableECFTransport[EnergieConsumptieFactor (PJ per km)],TableECFTransport[Index],CONCATENATE($A6,"_CNG_CNG"))</f>
        <v>3.6244291792473255E-5</v>
      </c>
      <c r="E6" s="866">
        <f>vkm_GW_PW*SUMIFS(TableVerdeelsleutelVkm[LPG],TableVerdeelsleutelVkm[Voertuigtype],"Lichte voertuigen")*SUMIFS(TableECFTransport[EnergieConsumptieFactor (PJ per km)],TableECFTransport[Index],CONCATENATE($A6,"_LPG_LPG"))</f>
        <v>3.5104378269753601E-4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8.250132932077775E-2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2.2195795429042632E-2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5.4602275594631275E-3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4.021841806425322E-2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7.7996296478534656E-7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2.3317729552354912E-3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5.6390383618066001E-6</v>
      </c>
      <c r="C8" s="424"/>
      <c r="D8" s="426">
        <f>vkm_NGW_PW*SUMIFS(TableVerdeelsleutelVkm[CNG],TableVerdeelsleutelVkm[Voertuigtype],"Lichte voertuigen")*SUMIFS(TableECFTransport[EnergieConsumptieFactor (PJ per km)],TableECFTransport[Index],CONCATENATE($A8,"_CNG_CNG"))</f>
        <v>1.6849737490784131E-5</v>
      </c>
      <c r="E8" s="426">
        <f>vkm_NGW_PW*SUMIFS(TableVerdeelsleutelVkm[LPG],TableVerdeelsleutelVkm[Voertuigtype],"Lichte voertuigen")*SUMIFS(TableECFTransport[EnergieConsumptieFactor (PJ per km)],TableECFTransport[Index],CONCATENATE($A8,"_LPG_LPG"))</f>
        <v>1.5444311036391954E-4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3.4070428732365585E-2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9.9631267161079083E-3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2.2792103911285786E-3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4.2216507343766129E-3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1.0141159065589823E-7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2.4476236148391803E-4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7.0042197159758047E-5</v>
      </c>
      <c r="C10" s="424"/>
      <c r="D10" s="426">
        <f>vkm_SW_PW*SUMIFS(TableVerdeelsleutelVkm[CNG],TableVerdeelsleutelVkm[Voertuigtype],"Lichte voertuigen")*SUMIFS(TableECFTransport[EnergieConsumptieFactor (PJ per km)],TableECFTransport[Index],CONCATENATE($A10,"_CNG_CNG"))</f>
        <v>1.2375653206505929E-4</v>
      </c>
      <c r="E10" s="426">
        <f>vkm_SW_PW*SUMIFS(TableVerdeelsleutelVkm[LPG],TableVerdeelsleutelVkm[Voertuigtype],"Lichte voertuigen")*SUMIFS(TableECFTransport[EnergieConsumptieFactor (PJ per km)],TableECFTransport[Index],CONCATENATE($A10,"_LPG_LPG"))</f>
        <v>1.4947277607104293E-3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0.31586748948925719</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7.9274552269160803E-2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2.0731198673371407E-2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0.40713135153565549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8.3892722554746757E-6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2.3604570395691943E-2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26.7921633212414</v>
      </c>
      <c r="C14" s="21"/>
      <c r="D14" s="21">
        <f t="shared" ref="D14:M14" si="0">((D5)*10^9/3600)+D12</f>
        <v>49.125155930087963</v>
      </c>
      <c r="E14" s="21">
        <f t="shared" si="0"/>
        <v>555.61518160330138</v>
      </c>
      <c r="F14" s="21"/>
      <c r="G14" s="21">
        <f t="shared" si="0"/>
        <v>245558.51885463495</v>
      </c>
      <c r="H14" s="21">
        <f t="shared" si="0"/>
        <v>30956.318072533959</v>
      </c>
      <c r="I14" s="21"/>
      <c r="J14" s="21"/>
      <c r="K14" s="21"/>
      <c r="L14" s="21"/>
      <c r="M14" s="21">
        <f t="shared" si="0"/>
        <v>15181.039537881798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0.21076920463369284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5.6469629536340484</v>
      </c>
      <c r="C18" s="23"/>
      <c r="D18" s="23">
        <f t="shared" ref="D18:M18" si="1">D14*D16</f>
        <v>9.9232814978777686</v>
      </c>
      <c r="E18" s="23">
        <f t="shared" si="1"/>
        <v>126.12464622394941</v>
      </c>
      <c r="F18" s="23"/>
      <c r="G18" s="23">
        <f t="shared" si="1"/>
        <v>65564.124534187533</v>
      </c>
      <c r="H18" s="23">
        <f t="shared" si="1"/>
        <v>7708.1232000609562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1.6290036138917913E-3</v>
      </c>
      <c r="H50" s="319">
        <f t="shared" si="2"/>
        <v>0</v>
      </c>
      <c r="I50" s="319">
        <f t="shared" si="2"/>
        <v>0</v>
      </c>
      <c r="J50" s="319">
        <f t="shared" si="2"/>
        <v>0</v>
      </c>
      <c r="K50" s="319">
        <f t="shared" si="2"/>
        <v>0</v>
      </c>
      <c r="L50" s="319">
        <f t="shared" si="2"/>
        <v>0</v>
      </c>
      <c r="M50" s="319">
        <f t="shared" si="2"/>
        <v>9.3108888358903451E-5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1.6290036138917913E-3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9.3108888358903451E-5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452.50100385883093</v>
      </c>
      <c r="H54" s="21">
        <f t="shared" si="3"/>
        <v>0</v>
      </c>
      <c r="I54" s="21">
        <f t="shared" si="3"/>
        <v>0</v>
      </c>
      <c r="J54" s="21">
        <f t="shared" si="3"/>
        <v>0</v>
      </c>
      <c r="K54" s="21">
        <f t="shared" si="3"/>
        <v>0</v>
      </c>
      <c r="L54" s="21">
        <f t="shared" si="3"/>
        <v>0</v>
      </c>
      <c r="M54" s="21">
        <f t="shared" si="3"/>
        <v>25.863580099695405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0.21076920463369284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120.81776803030786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9910.5040730000019</v>
      </c>
      <c r="D10" s="991">
        <f ca="1">tertiair!C16</f>
        <v>0</v>
      </c>
      <c r="E10" s="991">
        <f ca="1">tertiair!D16</f>
        <v>25319.976650322009</v>
      </c>
      <c r="F10" s="991">
        <f>tertiair!E16</f>
        <v>110.63424234709106</v>
      </c>
      <c r="G10" s="991">
        <f ca="1">tertiair!F16</f>
        <v>1324.5446394511262</v>
      </c>
      <c r="H10" s="991">
        <f>tertiair!G16</f>
        <v>0</v>
      </c>
      <c r="I10" s="991">
        <f>tertiair!H16</f>
        <v>0</v>
      </c>
      <c r="J10" s="991">
        <f>tertiair!I16</f>
        <v>0</v>
      </c>
      <c r="K10" s="991">
        <f>tertiair!J16</f>
        <v>0</v>
      </c>
      <c r="L10" s="991">
        <f>tertiair!K16</f>
        <v>0</v>
      </c>
      <c r="M10" s="991">
        <f ca="1">tertiair!L16</f>
        <v>0</v>
      </c>
      <c r="N10" s="991">
        <f>tertiair!M16</f>
        <v>0</v>
      </c>
      <c r="O10" s="991">
        <f ca="1">tertiair!N16</f>
        <v>466.77794332540338</v>
      </c>
      <c r="P10" s="991">
        <f>tertiair!O16</f>
        <v>4.6900000000000004</v>
      </c>
      <c r="Q10" s="992">
        <f>tertiair!P16</f>
        <v>38.133333333333333</v>
      </c>
      <c r="R10" s="675">
        <f ca="1">SUM(C10:Q10)</f>
        <v>37175.260881778966</v>
      </c>
      <c r="S10" s="67"/>
    </row>
    <row r="11" spans="1:19" s="448" customFormat="1">
      <c r="A11" s="784" t="s">
        <v>224</v>
      </c>
      <c r="B11" s="789"/>
      <c r="C11" s="991">
        <f>huishoudens!B8</f>
        <v>17062.043881720187</v>
      </c>
      <c r="D11" s="991">
        <f>huishoudens!C8</f>
        <v>0</v>
      </c>
      <c r="E11" s="991">
        <f>huishoudens!D8</f>
        <v>11509.842006424284</v>
      </c>
      <c r="F11" s="991">
        <f>huishoudens!E8</f>
        <v>12517.159959911114</v>
      </c>
      <c r="G11" s="991">
        <f>huishoudens!F8</f>
        <v>31351.854313535758</v>
      </c>
      <c r="H11" s="991">
        <f>huishoudens!G8</f>
        <v>0</v>
      </c>
      <c r="I11" s="991">
        <f>huishoudens!H8</f>
        <v>0</v>
      </c>
      <c r="J11" s="991">
        <f>huishoudens!I8</f>
        <v>0</v>
      </c>
      <c r="K11" s="991">
        <f>huishoudens!J8</f>
        <v>1979.3776225192173</v>
      </c>
      <c r="L11" s="991">
        <f>huishoudens!K8</f>
        <v>0</v>
      </c>
      <c r="M11" s="991">
        <f>huishoudens!L8</f>
        <v>0</v>
      </c>
      <c r="N11" s="991">
        <f>huishoudens!M8</f>
        <v>0</v>
      </c>
      <c r="O11" s="991">
        <f>huishoudens!N8</f>
        <v>9125.6057704092218</v>
      </c>
      <c r="P11" s="991">
        <f>huishoudens!O8</f>
        <v>129.75666666666669</v>
      </c>
      <c r="Q11" s="992">
        <f>huishoudens!P8</f>
        <v>667.33333333333337</v>
      </c>
      <c r="R11" s="675">
        <f>SUM(C11:Q11)</f>
        <v>84342.973554519776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131257.10200000001</v>
      </c>
      <c r="D13" s="991">
        <f>industrie!C18</f>
        <v>1632.8571428571429</v>
      </c>
      <c r="E13" s="991">
        <f>industrie!D18</f>
        <v>119589.5689440462</v>
      </c>
      <c r="F13" s="991">
        <f>industrie!E18</f>
        <v>6396.2886674163856</v>
      </c>
      <c r="G13" s="991">
        <f>industrie!F18</f>
        <v>49636.808815415308</v>
      </c>
      <c r="H13" s="991">
        <f>industrie!G18</f>
        <v>0</v>
      </c>
      <c r="I13" s="991">
        <f>industrie!H18</f>
        <v>0</v>
      </c>
      <c r="J13" s="991">
        <f>industrie!I18</f>
        <v>0</v>
      </c>
      <c r="K13" s="991">
        <f>industrie!J18</f>
        <v>760.69003099732572</v>
      </c>
      <c r="L13" s="991">
        <f>industrie!K18</f>
        <v>0</v>
      </c>
      <c r="M13" s="991">
        <f>industrie!L18</f>
        <v>0</v>
      </c>
      <c r="N13" s="991">
        <f>industrie!M18</f>
        <v>0</v>
      </c>
      <c r="O13" s="991">
        <f>industrie!N18</f>
        <v>12610.015227840322</v>
      </c>
      <c r="P13" s="991">
        <f>industrie!O18</f>
        <v>0</v>
      </c>
      <c r="Q13" s="992">
        <f>industrie!P18</f>
        <v>0</v>
      </c>
      <c r="R13" s="675">
        <f>SUM(C13:Q13)</f>
        <v>321883.33082857268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158229.6499547202</v>
      </c>
      <c r="D16" s="707">
        <f t="shared" ref="D16:R16" ca="1" si="0">SUM(D9:D15)</f>
        <v>1632.8571428571429</v>
      </c>
      <c r="E16" s="707">
        <f t="shared" ca="1" si="0"/>
        <v>156419.38760079248</v>
      </c>
      <c r="F16" s="707">
        <f t="shared" si="0"/>
        <v>19024.082869674588</v>
      </c>
      <c r="G16" s="707">
        <f t="shared" ca="1" si="0"/>
        <v>82313.207768402193</v>
      </c>
      <c r="H16" s="707">
        <f t="shared" si="0"/>
        <v>0</v>
      </c>
      <c r="I16" s="707">
        <f t="shared" si="0"/>
        <v>0</v>
      </c>
      <c r="J16" s="707">
        <f t="shared" si="0"/>
        <v>0</v>
      </c>
      <c r="K16" s="707">
        <f t="shared" si="0"/>
        <v>2740.067653516543</v>
      </c>
      <c r="L16" s="707">
        <f t="shared" si="0"/>
        <v>0</v>
      </c>
      <c r="M16" s="707">
        <f t="shared" ca="1" si="0"/>
        <v>0</v>
      </c>
      <c r="N16" s="707">
        <f t="shared" si="0"/>
        <v>0</v>
      </c>
      <c r="O16" s="707">
        <f t="shared" ca="1" si="0"/>
        <v>22202.398941574946</v>
      </c>
      <c r="P16" s="707">
        <f t="shared" si="0"/>
        <v>134.44666666666669</v>
      </c>
      <c r="Q16" s="707">
        <f t="shared" si="0"/>
        <v>705.4666666666667</v>
      </c>
      <c r="R16" s="707">
        <f t="shared" ca="1" si="0"/>
        <v>443401.56526487146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452.50100385883093</v>
      </c>
      <c r="I19" s="991">
        <f>transport!H54</f>
        <v>0</v>
      </c>
      <c r="J19" s="991">
        <f>transport!I54</f>
        <v>0</v>
      </c>
      <c r="K19" s="991">
        <f>transport!J54</f>
        <v>0</v>
      </c>
      <c r="L19" s="991">
        <f>transport!K54</f>
        <v>0</v>
      </c>
      <c r="M19" s="991">
        <f>transport!L54</f>
        <v>0</v>
      </c>
      <c r="N19" s="991">
        <f>transport!M54</f>
        <v>25.863580099695405</v>
      </c>
      <c r="O19" s="991">
        <f>transport!N54</f>
        <v>0</v>
      </c>
      <c r="P19" s="991">
        <f>transport!O54</f>
        <v>0</v>
      </c>
      <c r="Q19" s="992">
        <f>transport!P54</f>
        <v>0</v>
      </c>
      <c r="R19" s="675">
        <f>SUM(C19:Q19)</f>
        <v>478.36458395852634</v>
      </c>
      <c r="S19" s="67"/>
    </row>
    <row r="20" spans="1:19" s="448" customFormat="1">
      <c r="A20" s="784" t="s">
        <v>306</v>
      </c>
      <c r="B20" s="789"/>
      <c r="C20" s="991">
        <f>transport!B14</f>
        <v>26.7921633212414</v>
      </c>
      <c r="D20" s="991">
        <f>transport!C14</f>
        <v>0</v>
      </c>
      <c r="E20" s="991">
        <f>transport!D14</f>
        <v>49.125155930087963</v>
      </c>
      <c r="F20" s="991">
        <f>transport!E14</f>
        <v>555.61518160330138</v>
      </c>
      <c r="G20" s="991">
        <f>transport!F14</f>
        <v>0</v>
      </c>
      <c r="H20" s="991">
        <f>transport!G14</f>
        <v>245558.51885463495</v>
      </c>
      <c r="I20" s="991">
        <f>transport!H14</f>
        <v>30956.318072533959</v>
      </c>
      <c r="J20" s="991">
        <f>transport!I14</f>
        <v>0</v>
      </c>
      <c r="K20" s="991">
        <f>transport!J14</f>
        <v>0</v>
      </c>
      <c r="L20" s="991">
        <f>transport!K14</f>
        <v>0</v>
      </c>
      <c r="M20" s="991">
        <f>transport!L14</f>
        <v>0</v>
      </c>
      <c r="N20" s="991">
        <f>transport!M14</f>
        <v>15181.039537881798</v>
      </c>
      <c r="O20" s="991">
        <f>transport!N14</f>
        <v>0</v>
      </c>
      <c r="P20" s="991">
        <f>transport!O14</f>
        <v>0</v>
      </c>
      <c r="Q20" s="992">
        <f>transport!P14</f>
        <v>0</v>
      </c>
      <c r="R20" s="675">
        <f>SUM(C20:Q20)</f>
        <v>292327.40896590531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26.7921633212414</v>
      </c>
      <c r="D22" s="787">
        <f t="shared" ref="D22:R22" si="1">SUM(D18:D21)</f>
        <v>0</v>
      </c>
      <c r="E22" s="787">
        <f t="shared" si="1"/>
        <v>49.125155930087963</v>
      </c>
      <c r="F22" s="787">
        <f t="shared" si="1"/>
        <v>555.61518160330138</v>
      </c>
      <c r="G22" s="787">
        <f t="shared" si="1"/>
        <v>0</v>
      </c>
      <c r="H22" s="787">
        <f t="shared" si="1"/>
        <v>246011.01985849379</v>
      </c>
      <c r="I22" s="787">
        <f t="shared" si="1"/>
        <v>30956.318072533959</v>
      </c>
      <c r="J22" s="787">
        <f t="shared" si="1"/>
        <v>0</v>
      </c>
      <c r="K22" s="787">
        <f t="shared" si="1"/>
        <v>0</v>
      </c>
      <c r="L22" s="787">
        <f t="shared" si="1"/>
        <v>0</v>
      </c>
      <c r="M22" s="787">
        <f t="shared" si="1"/>
        <v>0</v>
      </c>
      <c r="N22" s="787">
        <f t="shared" si="1"/>
        <v>15206.903117981494</v>
      </c>
      <c r="O22" s="787">
        <f t="shared" si="1"/>
        <v>0</v>
      </c>
      <c r="P22" s="787">
        <f t="shared" si="1"/>
        <v>0</v>
      </c>
      <c r="Q22" s="787">
        <f t="shared" si="1"/>
        <v>0</v>
      </c>
      <c r="R22" s="787">
        <f t="shared" si="1"/>
        <v>292805.77354986384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2620.7384999999999</v>
      </c>
      <c r="D24" s="991">
        <f>+landbouw!C8</f>
        <v>0</v>
      </c>
      <c r="E24" s="991">
        <f>+landbouw!D8</f>
        <v>537.32765227870163</v>
      </c>
      <c r="F24" s="991">
        <f>+landbouw!E8</f>
        <v>24.274377653183382</v>
      </c>
      <c r="G24" s="991">
        <f>+landbouw!F8</f>
        <v>6649.3128246719089</v>
      </c>
      <c r="H24" s="991">
        <f>+landbouw!G8</f>
        <v>0</v>
      </c>
      <c r="I24" s="991">
        <f>+landbouw!H8</f>
        <v>0</v>
      </c>
      <c r="J24" s="991">
        <f>+landbouw!I8</f>
        <v>0</v>
      </c>
      <c r="K24" s="991">
        <f>+landbouw!J8</f>
        <v>401.78845957702163</v>
      </c>
      <c r="L24" s="991">
        <f>+landbouw!K8</f>
        <v>0</v>
      </c>
      <c r="M24" s="991">
        <f>+landbouw!L8</f>
        <v>0</v>
      </c>
      <c r="N24" s="991">
        <f>+landbouw!M8</f>
        <v>0</v>
      </c>
      <c r="O24" s="991">
        <f>+landbouw!N8</f>
        <v>0</v>
      </c>
      <c r="P24" s="991">
        <f>+landbouw!O8</f>
        <v>0</v>
      </c>
      <c r="Q24" s="992">
        <f>+landbouw!P8</f>
        <v>0</v>
      </c>
      <c r="R24" s="675">
        <f>SUM(C24:Q24)</f>
        <v>10233.441814180815</v>
      </c>
      <c r="S24" s="67"/>
    </row>
    <row r="25" spans="1:19" s="448" customFormat="1" ht="15" thickBot="1">
      <c r="A25" s="806" t="s">
        <v>849</v>
      </c>
      <c r="B25" s="994"/>
      <c r="C25" s="995">
        <f>IF(Onbekend_ele_kWh="---",0,Onbekend_ele_kWh)/1000+IF(REST_rest_ele_kWh="---",0,REST_rest_ele_kWh)/1000</f>
        <v>580.94640000000004</v>
      </c>
      <c r="D25" s="995"/>
      <c r="E25" s="995">
        <f>IF(onbekend_gas_kWh="---",0,onbekend_gas_kWh)/1000+IF(REST_rest_gas_kWh="---",0,REST_rest_gas_kWh)/1000</f>
        <v>473.31425274706601</v>
      </c>
      <c r="F25" s="995"/>
      <c r="G25" s="995"/>
      <c r="H25" s="995"/>
      <c r="I25" s="995"/>
      <c r="J25" s="995"/>
      <c r="K25" s="995"/>
      <c r="L25" s="995"/>
      <c r="M25" s="995"/>
      <c r="N25" s="995"/>
      <c r="O25" s="995"/>
      <c r="P25" s="995"/>
      <c r="Q25" s="996"/>
      <c r="R25" s="675">
        <f>SUM(C25:Q25)</f>
        <v>1054.2606527470662</v>
      </c>
      <c r="S25" s="67"/>
    </row>
    <row r="26" spans="1:19" s="448" customFormat="1" ht="15.75" thickBot="1">
      <c r="A26" s="680" t="s">
        <v>850</v>
      </c>
      <c r="B26" s="792"/>
      <c r="C26" s="787">
        <f>SUM(C24:C25)</f>
        <v>3201.6849000000002</v>
      </c>
      <c r="D26" s="787">
        <f t="shared" ref="D26:R26" si="2">SUM(D24:D25)</f>
        <v>0</v>
      </c>
      <c r="E26" s="787">
        <f t="shared" si="2"/>
        <v>1010.6419050257676</v>
      </c>
      <c r="F26" s="787">
        <f t="shared" si="2"/>
        <v>24.274377653183382</v>
      </c>
      <c r="G26" s="787">
        <f t="shared" si="2"/>
        <v>6649.3128246719089</v>
      </c>
      <c r="H26" s="787">
        <f t="shared" si="2"/>
        <v>0</v>
      </c>
      <c r="I26" s="787">
        <f t="shared" si="2"/>
        <v>0</v>
      </c>
      <c r="J26" s="787">
        <f t="shared" si="2"/>
        <v>0</v>
      </c>
      <c r="K26" s="787">
        <f t="shared" si="2"/>
        <v>401.78845957702163</v>
      </c>
      <c r="L26" s="787">
        <f t="shared" si="2"/>
        <v>0</v>
      </c>
      <c r="M26" s="787">
        <f t="shared" si="2"/>
        <v>0</v>
      </c>
      <c r="N26" s="787">
        <f t="shared" si="2"/>
        <v>0</v>
      </c>
      <c r="O26" s="787">
        <f t="shared" si="2"/>
        <v>0</v>
      </c>
      <c r="P26" s="787">
        <f t="shared" si="2"/>
        <v>0</v>
      </c>
      <c r="Q26" s="787">
        <f t="shared" si="2"/>
        <v>0</v>
      </c>
      <c r="R26" s="787">
        <f t="shared" si="2"/>
        <v>11287.70246692788</v>
      </c>
      <c r="S26" s="67"/>
    </row>
    <row r="27" spans="1:19" s="448" customFormat="1" ht="17.25" thickTop="1" thickBot="1">
      <c r="A27" s="681" t="s">
        <v>115</v>
      </c>
      <c r="B27" s="780"/>
      <c r="C27" s="682">
        <f ca="1">C22+C16+C26</f>
        <v>161458.12701804144</v>
      </c>
      <c r="D27" s="682">
        <f t="shared" ref="D27:R27" ca="1" si="3">D22+D16+D26</f>
        <v>1632.8571428571429</v>
      </c>
      <c r="E27" s="682">
        <f t="shared" ca="1" si="3"/>
        <v>157479.15466174833</v>
      </c>
      <c r="F27" s="682">
        <f t="shared" si="3"/>
        <v>19603.972428931072</v>
      </c>
      <c r="G27" s="682">
        <f t="shared" ca="1" si="3"/>
        <v>88962.520593074107</v>
      </c>
      <c r="H27" s="682">
        <f t="shared" si="3"/>
        <v>246011.01985849379</v>
      </c>
      <c r="I27" s="682">
        <f t="shared" si="3"/>
        <v>30956.318072533959</v>
      </c>
      <c r="J27" s="682">
        <f t="shared" si="3"/>
        <v>0</v>
      </c>
      <c r="K27" s="682">
        <f t="shared" si="3"/>
        <v>3141.8561130935645</v>
      </c>
      <c r="L27" s="682">
        <f t="shared" si="3"/>
        <v>0</v>
      </c>
      <c r="M27" s="682">
        <f t="shared" ca="1" si="3"/>
        <v>0</v>
      </c>
      <c r="N27" s="682">
        <f t="shared" si="3"/>
        <v>15206.903117981494</v>
      </c>
      <c r="O27" s="682">
        <f t="shared" ca="1" si="3"/>
        <v>22202.398941574946</v>
      </c>
      <c r="P27" s="682">
        <f t="shared" si="3"/>
        <v>134.44666666666669</v>
      </c>
      <c r="Q27" s="682">
        <f t="shared" si="3"/>
        <v>705.4666666666667</v>
      </c>
      <c r="R27" s="682">
        <f t="shared" ca="1" si="3"/>
        <v>747495.04128166323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2088.8290609851833</v>
      </c>
      <c r="D40" s="991">
        <f ca="1">tertiair!C20</f>
        <v>0</v>
      </c>
      <c r="E40" s="991">
        <f ca="1">tertiair!D20</f>
        <v>5114.6352833650462</v>
      </c>
      <c r="F40" s="991">
        <f>tertiair!E20</f>
        <v>25.113973012789671</v>
      </c>
      <c r="G40" s="991">
        <f ca="1">tertiair!F20</f>
        <v>353.65341873345068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7582.2317360964707</v>
      </c>
    </row>
    <row r="41" spans="1:18">
      <c r="A41" s="797" t="s">
        <v>224</v>
      </c>
      <c r="B41" s="804"/>
      <c r="C41" s="991">
        <f ca="1">huishoudens!B12</f>
        <v>3596.1534183753288</v>
      </c>
      <c r="D41" s="991">
        <f ca="1">huishoudens!C12</f>
        <v>0</v>
      </c>
      <c r="E41" s="991">
        <f>huishoudens!D12</f>
        <v>2324.9880852977053</v>
      </c>
      <c r="F41" s="991">
        <f>huishoudens!E12</f>
        <v>2841.395310899823</v>
      </c>
      <c r="G41" s="991">
        <f>huishoudens!F12</f>
        <v>8370.9451017140473</v>
      </c>
      <c r="H41" s="991">
        <f>huishoudens!G12</f>
        <v>0</v>
      </c>
      <c r="I41" s="991">
        <f>huishoudens!H12</f>
        <v>0</v>
      </c>
      <c r="J41" s="991">
        <f>huishoudens!I12</f>
        <v>0</v>
      </c>
      <c r="K41" s="991">
        <f>huishoudens!J12</f>
        <v>700.69967837180286</v>
      </c>
      <c r="L41" s="991">
        <f>huishoudens!K12</f>
        <v>0</v>
      </c>
      <c r="M41" s="991">
        <f>huishoudens!L12</f>
        <v>0</v>
      </c>
      <c r="N41" s="991">
        <f>huishoudens!M12</f>
        <v>0</v>
      </c>
      <c r="O41" s="991">
        <f>huishoudens!N12</f>
        <v>0</v>
      </c>
      <c r="P41" s="991">
        <f>huishoudens!O12</f>
        <v>0</v>
      </c>
      <c r="Q41" s="749">
        <f>huishoudens!P12</f>
        <v>0</v>
      </c>
      <c r="R41" s="825">
        <f t="shared" ca="1" si="4"/>
        <v>17834.181594658705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27664.954991063496</v>
      </c>
      <c r="D43" s="991">
        <f ca="1">industrie!C22</f>
        <v>388.04369747899159</v>
      </c>
      <c r="E43" s="991">
        <f>industrie!D22</f>
        <v>24157.092926697333</v>
      </c>
      <c r="F43" s="991">
        <f>industrie!E22</f>
        <v>1451.9575275035195</v>
      </c>
      <c r="G43" s="991">
        <f>industrie!F22</f>
        <v>13253.027953715888</v>
      </c>
      <c r="H43" s="991">
        <f>industrie!G22</f>
        <v>0</v>
      </c>
      <c r="I43" s="991">
        <f>industrie!H22</f>
        <v>0</v>
      </c>
      <c r="J43" s="991">
        <f>industrie!I22</f>
        <v>0</v>
      </c>
      <c r="K43" s="991">
        <f>industrie!J22</f>
        <v>269.28427097305331</v>
      </c>
      <c r="L43" s="991">
        <f>industrie!K22</f>
        <v>0</v>
      </c>
      <c r="M43" s="991">
        <f>industrie!L22</f>
        <v>0</v>
      </c>
      <c r="N43" s="991">
        <f>industrie!M22</f>
        <v>0</v>
      </c>
      <c r="O43" s="991">
        <f>industrie!N22</f>
        <v>0</v>
      </c>
      <c r="P43" s="991">
        <f>industrie!O22</f>
        <v>0</v>
      </c>
      <c r="Q43" s="749">
        <f>industrie!P22</f>
        <v>0</v>
      </c>
      <c r="R43" s="824">
        <f t="shared" ca="1" si="4"/>
        <v>67184.36136743227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33349.937470424011</v>
      </c>
      <c r="D46" s="707">
        <f t="shared" ref="D46:Q46" ca="1" si="5">SUM(D39:D45)</f>
        <v>388.04369747899159</v>
      </c>
      <c r="E46" s="707">
        <f t="shared" ca="1" si="5"/>
        <v>31596.716295360085</v>
      </c>
      <c r="F46" s="707">
        <f t="shared" si="5"/>
        <v>4318.4668114161323</v>
      </c>
      <c r="G46" s="707">
        <f t="shared" ca="1" si="5"/>
        <v>21977.626474163386</v>
      </c>
      <c r="H46" s="707">
        <f t="shared" si="5"/>
        <v>0</v>
      </c>
      <c r="I46" s="707">
        <f t="shared" si="5"/>
        <v>0</v>
      </c>
      <c r="J46" s="707">
        <f t="shared" si="5"/>
        <v>0</v>
      </c>
      <c r="K46" s="707">
        <f t="shared" si="5"/>
        <v>969.98394934485623</v>
      </c>
      <c r="L46" s="707">
        <f t="shared" si="5"/>
        <v>0</v>
      </c>
      <c r="M46" s="707">
        <f t="shared" ca="1" si="5"/>
        <v>0</v>
      </c>
      <c r="N46" s="707">
        <f t="shared" si="5"/>
        <v>0</v>
      </c>
      <c r="O46" s="707">
        <f t="shared" ca="1" si="5"/>
        <v>0</v>
      </c>
      <c r="P46" s="707">
        <f t="shared" si="5"/>
        <v>0</v>
      </c>
      <c r="Q46" s="707">
        <f t="shared" si="5"/>
        <v>0</v>
      </c>
      <c r="R46" s="707">
        <f ca="1">SUM(R39:R45)</f>
        <v>92600.774698187452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120.81776803030786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120.81776803030786</v>
      </c>
    </row>
    <row r="50" spans="1:18">
      <c r="A50" s="800" t="s">
        <v>306</v>
      </c>
      <c r="B50" s="810"/>
      <c r="C50" s="678">
        <f ca="1">transport!B18</f>
        <v>5.6469629536340484</v>
      </c>
      <c r="D50" s="678">
        <f>transport!C18</f>
        <v>0</v>
      </c>
      <c r="E50" s="678">
        <f>transport!D18</f>
        <v>9.9232814978777686</v>
      </c>
      <c r="F50" s="678">
        <f>transport!E18</f>
        <v>126.12464622394941</v>
      </c>
      <c r="G50" s="678">
        <f>transport!F18</f>
        <v>0</v>
      </c>
      <c r="H50" s="678">
        <f>transport!G18</f>
        <v>65564.124534187533</v>
      </c>
      <c r="I50" s="678">
        <f>transport!H18</f>
        <v>7708.1232000609562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73413.942624923948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5.6469629536340484</v>
      </c>
      <c r="D52" s="707">
        <f t="shared" ref="D52:Q52" ca="1" si="6">SUM(D48:D51)</f>
        <v>0</v>
      </c>
      <c r="E52" s="707">
        <f t="shared" si="6"/>
        <v>9.9232814978777686</v>
      </c>
      <c r="F52" s="707">
        <f t="shared" si="6"/>
        <v>126.12464622394941</v>
      </c>
      <c r="G52" s="707">
        <f t="shared" si="6"/>
        <v>0</v>
      </c>
      <c r="H52" s="707">
        <f t="shared" si="6"/>
        <v>65684.942302217838</v>
      </c>
      <c r="I52" s="707">
        <f t="shared" si="6"/>
        <v>7708.1232000609562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73534.760392954253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552.37096919789724</v>
      </c>
      <c r="D54" s="678">
        <f ca="1">+landbouw!C12</f>
        <v>0</v>
      </c>
      <c r="E54" s="678">
        <f>+landbouw!D12</f>
        <v>108.54018576029773</v>
      </c>
      <c r="F54" s="678">
        <f>+landbouw!E12</f>
        <v>5.5102837272726282</v>
      </c>
      <c r="G54" s="678">
        <f>+landbouw!F12</f>
        <v>1775.3665241873998</v>
      </c>
      <c r="H54" s="678">
        <f>+landbouw!G12</f>
        <v>0</v>
      </c>
      <c r="I54" s="678">
        <f>+landbouw!H12</f>
        <v>0</v>
      </c>
      <c r="J54" s="678">
        <f>+landbouw!I12</f>
        <v>0</v>
      </c>
      <c r="K54" s="678">
        <f>+landbouw!J12</f>
        <v>142.23311469026564</v>
      </c>
      <c r="L54" s="678">
        <f>+landbouw!K12</f>
        <v>0</v>
      </c>
      <c r="M54" s="678">
        <f>+landbouw!L12</f>
        <v>0</v>
      </c>
      <c r="N54" s="678">
        <f>+landbouw!M12</f>
        <v>0</v>
      </c>
      <c r="O54" s="678">
        <f>+landbouw!N12</f>
        <v>0</v>
      </c>
      <c r="P54" s="678">
        <f>+landbouw!O12</f>
        <v>0</v>
      </c>
      <c r="Q54" s="679">
        <f>+landbouw!P12</f>
        <v>0</v>
      </c>
      <c r="R54" s="706">
        <f ca="1">SUM(C54:Q54)</f>
        <v>2584.0210775631331</v>
      </c>
    </row>
    <row r="55" spans="1:18" ht="15" thickBot="1">
      <c r="A55" s="800" t="s">
        <v>849</v>
      </c>
      <c r="B55" s="810"/>
      <c r="C55" s="678">
        <f ca="1">C25*'EF ele_warmte'!B12</f>
        <v>122.44561066280718</v>
      </c>
      <c r="D55" s="678"/>
      <c r="E55" s="678">
        <f>E25*EF_CO2_aardgas</f>
        <v>95.609479054907339</v>
      </c>
      <c r="F55" s="678"/>
      <c r="G55" s="678"/>
      <c r="H55" s="678"/>
      <c r="I55" s="678"/>
      <c r="J55" s="678"/>
      <c r="K55" s="678"/>
      <c r="L55" s="678"/>
      <c r="M55" s="678"/>
      <c r="N55" s="678"/>
      <c r="O55" s="678"/>
      <c r="P55" s="678"/>
      <c r="Q55" s="679"/>
      <c r="R55" s="706">
        <f ca="1">SUM(C55:Q55)</f>
        <v>218.05508971771451</v>
      </c>
    </row>
    <row r="56" spans="1:18" ht="15.75" thickBot="1">
      <c r="A56" s="798" t="s">
        <v>850</v>
      </c>
      <c r="B56" s="811"/>
      <c r="C56" s="707">
        <f ca="1">SUM(C54:C55)</f>
        <v>674.81657986070445</v>
      </c>
      <c r="D56" s="707">
        <f t="shared" ref="D56:Q56" ca="1" si="7">SUM(D54:D55)</f>
        <v>0</v>
      </c>
      <c r="E56" s="707">
        <f t="shared" si="7"/>
        <v>204.14966481520509</v>
      </c>
      <c r="F56" s="707">
        <f t="shared" si="7"/>
        <v>5.5102837272726282</v>
      </c>
      <c r="G56" s="707">
        <f t="shared" si="7"/>
        <v>1775.3665241873998</v>
      </c>
      <c r="H56" s="707">
        <f t="shared" si="7"/>
        <v>0</v>
      </c>
      <c r="I56" s="707">
        <f t="shared" si="7"/>
        <v>0</v>
      </c>
      <c r="J56" s="707">
        <f t="shared" si="7"/>
        <v>0</v>
      </c>
      <c r="K56" s="707">
        <f t="shared" si="7"/>
        <v>142.23311469026564</v>
      </c>
      <c r="L56" s="707">
        <f t="shared" si="7"/>
        <v>0</v>
      </c>
      <c r="M56" s="707">
        <f t="shared" si="7"/>
        <v>0</v>
      </c>
      <c r="N56" s="707">
        <f t="shared" si="7"/>
        <v>0</v>
      </c>
      <c r="O56" s="707">
        <f t="shared" si="7"/>
        <v>0</v>
      </c>
      <c r="P56" s="707">
        <f t="shared" si="7"/>
        <v>0</v>
      </c>
      <c r="Q56" s="708">
        <f t="shared" si="7"/>
        <v>0</v>
      </c>
      <c r="R56" s="709">
        <f ca="1">SUM(R54:R55)</f>
        <v>2802.0761672808476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34030.401013238356</v>
      </c>
      <c r="D61" s="715">
        <f t="shared" ref="D61:Q61" ca="1" si="8">D46+D52+D56</f>
        <v>388.04369747899159</v>
      </c>
      <c r="E61" s="715">
        <f t="shared" ca="1" si="8"/>
        <v>31810.78924167317</v>
      </c>
      <c r="F61" s="715">
        <f t="shared" si="8"/>
        <v>4450.1017413673544</v>
      </c>
      <c r="G61" s="715">
        <f t="shared" ca="1" si="8"/>
        <v>23752.992998350786</v>
      </c>
      <c r="H61" s="715">
        <f t="shared" si="8"/>
        <v>65684.942302217838</v>
      </c>
      <c r="I61" s="715">
        <f t="shared" si="8"/>
        <v>7708.1232000609562</v>
      </c>
      <c r="J61" s="715">
        <f t="shared" si="8"/>
        <v>0</v>
      </c>
      <c r="K61" s="715">
        <f t="shared" si="8"/>
        <v>1112.2170640351219</v>
      </c>
      <c r="L61" s="715">
        <f t="shared" si="8"/>
        <v>0</v>
      </c>
      <c r="M61" s="715">
        <f t="shared" ca="1" si="8"/>
        <v>0</v>
      </c>
      <c r="N61" s="715">
        <f t="shared" si="8"/>
        <v>0</v>
      </c>
      <c r="O61" s="715">
        <f t="shared" ca="1" si="8"/>
        <v>0</v>
      </c>
      <c r="P61" s="715">
        <f t="shared" si="8"/>
        <v>0</v>
      </c>
      <c r="Q61" s="715">
        <f t="shared" si="8"/>
        <v>0</v>
      </c>
      <c r="R61" s="715">
        <f ca="1">R46+R52+R56</f>
        <v>168937.61125842255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0.21076920463369289</v>
      </c>
      <c r="D63" s="756">
        <f t="shared" ca="1" si="9"/>
        <v>0.23764705882352941</v>
      </c>
      <c r="E63" s="1002">
        <f t="shared" ca="1" si="9"/>
        <v>0.20200000000000004</v>
      </c>
      <c r="F63" s="756">
        <f t="shared" si="9"/>
        <v>0.22700000000000004</v>
      </c>
      <c r="G63" s="756">
        <f t="shared" ca="1" si="9"/>
        <v>0.26700000000000002</v>
      </c>
      <c r="H63" s="756">
        <f t="shared" si="9"/>
        <v>0.26699999999999996</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7560.5097103353228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1143</v>
      </c>
      <c r="D76" s="1012">
        <f>'lokale energieproductie'!C8</f>
        <v>1344.7058823529412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271.63058823529417</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7560.5097103353228</v>
      </c>
      <c r="C78" s="730">
        <f>SUM(C72:C77)</f>
        <v>1143</v>
      </c>
      <c r="D78" s="731">
        <f t="shared" ref="D78:H78" si="10">SUM(D76:D77)</f>
        <v>1344.7058823529412</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271.63058823529417</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1632.8571428571429</v>
      </c>
      <c r="D87" s="752">
        <f>'lokale energieproductie'!C17</f>
        <v>1921.0084033613443</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388.04369747899159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1632.8571428571429</v>
      </c>
      <c r="D90" s="730">
        <f t="shared" ref="D90:H90" si="12">SUM(D87:D89)</f>
        <v>1921.0084033613443</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388.04369747899159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7560.5097103353228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1143</v>
      </c>
      <c r="C8" s="545">
        <f>B48</f>
        <v>1344.7058823529412</v>
      </c>
      <c r="D8" s="1022"/>
      <c r="E8" s="1022">
        <f>E48</f>
        <v>0</v>
      </c>
      <c r="F8" s="1023"/>
      <c r="G8" s="546"/>
      <c r="H8" s="1022">
        <f>I48</f>
        <v>0</v>
      </c>
      <c r="I8" s="1022">
        <f>G48+F48</f>
        <v>0</v>
      </c>
      <c r="J8" s="1022">
        <f>H48+D48+C48</f>
        <v>0</v>
      </c>
      <c r="K8" s="1022"/>
      <c r="L8" s="1022"/>
      <c r="M8" s="1022"/>
      <c r="N8" s="547"/>
      <c r="O8" s="548">
        <f>C8*$C$12+D8*$D$12+E8*$E$12+F8*$F$12+G8*$G$12+H8*$H$12+I8*$I$12+J8*$J$12</f>
        <v>271.63058823529417</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8703.5097103353219</v>
      </c>
      <c r="C10" s="558">
        <f t="shared" ref="C10:L10" si="0">SUM(C8:C9)</f>
        <v>1344.7058823529412</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271.63058823529417</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1632.8571428571429</v>
      </c>
      <c r="C17" s="570">
        <f>B49</f>
        <v>1921.0084033613443</v>
      </c>
      <c r="D17" s="571"/>
      <c r="E17" s="571">
        <f>E49</f>
        <v>0</v>
      </c>
      <c r="F17" s="1028"/>
      <c r="G17" s="572"/>
      <c r="H17" s="570">
        <f>I49</f>
        <v>0</v>
      </c>
      <c r="I17" s="571">
        <f>G49+F49</f>
        <v>0</v>
      </c>
      <c r="J17" s="571">
        <f>H49+D49+C49</f>
        <v>0</v>
      </c>
      <c r="K17" s="571"/>
      <c r="L17" s="571"/>
      <c r="M17" s="571"/>
      <c r="N17" s="1029"/>
      <c r="O17" s="573">
        <f>C17*$C$22+E17*$E$22+H17*$H$22+I17*$I$22+J17*$J$22+D17*$D$22+F17*$F$22+G17*$G$22+K17*$K$22+L17*$L$22</f>
        <v>388.04369747899159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1632.8571428571429</v>
      </c>
      <c r="C20" s="557">
        <f>SUM(C17:C19)</f>
        <v>1921.0084033613443</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388.04369747899159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45017</v>
      </c>
      <c r="C28" s="771">
        <v>9770</v>
      </c>
      <c r="D28" s="628" t="s">
        <v>913</v>
      </c>
      <c r="E28" s="627" t="s">
        <v>914</v>
      </c>
      <c r="F28" s="627" t="s">
        <v>915</v>
      </c>
      <c r="G28" s="627" t="s">
        <v>916</v>
      </c>
      <c r="H28" s="627" t="s">
        <v>917</v>
      </c>
      <c r="I28" s="627" t="s">
        <v>918</v>
      </c>
      <c r="J28" s="770">
        <v>40577</v>
      </c>
      <c r="K28" s="770">
        <v>40582</v>
      </c>
      <c r="L28" s="627" t="s">
        <v>919</v>
      </c>
      <c r="M28" s="627">
        <v>254</v>
      </c>
      <c r="N28" s="627">
        <v>1143</v>
      </c>
      <c r="O28" s="627">
        <v>1632.8571428571429</v>
      </c>
      <c r="P28" s="627">
        <v>3265.7142857142858</v>
      </c>
      <c r="Q28" s="627">
        <v>0</v>
      </c>
      <c r="R28" s="627">
        <v>0</v>
      </c>
      <c r="S28" s="627">
        <v>0</v>
      </c>
      <c r="T28" s="627">
        <v>0</v>
      </c>
      <c r="U28" s="627">
        <v>0</v>
      </c>
      <c r="V28" s="627">
        <v>0</v>
      </c>
      <c r="W28" s="627">
        <v>0</v>
      </c>
      <c r="X28" s="627">
        <v>600</v>
      </c>
      <c r="Y28" s="627" t="s">
        <v>39</v>
      </c>
      <c r="Z28" s="629" t="s">
        <v>388</v>
      </c>
    </row>
    <row r="29" spans="1:26" s="565" customFormat="1">
      <c r="A29" s="583" t="s">
        <v>279</v>
      </c>
      <c r="B29" s="584"/>
      <c r="C29" s="584"/>
      <c r="D29" s="584"/>
      <c r="E29" s="584"/>
      <c r="F29" s="584"/>
      <c r="G29" s="584"/>
      <c r="H29" s="584"/>
      <c r="I29" s="584"/>
      <c r="J29" s="584"/>
      <c r="K29" s="584"/>
      <c r="L29" s="585"/>
      <c r="M29" s="585">
        <f>SUM(M28:M28)</f>
        <v>254</v>
      </c>
      <c r="N29" s="585">
        <f>SUM(N28:N28)</f>
        <v>1143</v>
      </c>
      <c r="O29" s="585">
        <f>SUM(O28:O28)</f>
        <v>1632.8571428571429</v>
      </c>
      <c r="P29" s="585">
        <f>SUM(P28:P28)</f>
        <v>3265.7142857142858</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254</v>
      </c>
      <c r="N30" s="585">
        <f>SUMIF($Z$28:$Z$28,"industrie",N28:N28)</f>
        <v>1143</v>
      </c>
      <c r="O30" s="585">
        <f>SUMIF($Z$28:$Z$28,"industrie",O28:O28)</f>
        <v>1632.8571428571429</v>
      </c>
      <c r="P30" s="585">
        <f>SUMIF($Z$28:$Z$28,"industrie",P28:P28)</f>
        <v>3265.7142857142858</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0.58823529411764697</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1344.7058823529412</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1921.0084033613443</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17062.043881720187</v>
      </c>
      <c r="C4" s="452">
        <f>huishoudens!C8</f>
        <v>0</v>
      </c>
      <c r="D4" s="452">
        <f>huishoudens!D8</f>
        <v>11509.842006424284</v>
      </c>
      <c r="E4" s="452">
        <f>huishoudens!E8</f>
        <v>12517.159959911114</v>
      </c>
      <c r="F4" s="452">
        <f>huishoudens!F8</f>
        <v>31351.854313535758</v>
      </c>
      <c r="G4" s="452">
        <f>huishoudens!G8</f>
        <v>0</v>
      </c>
      <c r="H4" s="452">
        <f>huishoudens!H8</f>
        <v>0</v>
      </c>
      <c r="I4" s="452">
        <f>huishoudens!I8</f>
        <v>0</v>
      </c>
      <c r="J4" s="452">
        <f>huishoudens!J8</f>
        <v>1979.3776225192173</v>
      </c>
      <c r="K4" s="452">
        <f>huishoudens!K8</f>
        <v>0</v>
      </c>
      <c r="L4" s="452">
        <f>huishoudens!L8</f>
        <v>0</v>
      </c>
      <c r="M4" s="452">
        <f>huishoudens!M8</f>
        <v>0</v>
      </c>
      <c r="N4" s="452">
        <f>huishoudens!N8</f>
        <v>9125.6057704092218</v>
      </c>
      <c r="O4" s="452">
        <f>huishoudens!O8</f>
        <v>129.75666666666669</v>
      </c>
      <c r="P4" s="453">
        <f>huishoudens!P8</f>
        <v>667.33333333333337</v>
      </c>
      <c r="Q4" s="454">
        <f>SUM(B4:P4)</f>
        <v>84342.973554519776</v>
      </c>
    </row>
    <row r="5" spans="1:17">
      <c r="A5" s="451" t="s">
        <v>155</v>
      </c>
      <c r="B5" s="452">
        <f ca="1">tertiair!B16</f>
        <v>9145.6080730000012</v>
      </c>
      <c r="C5" s="452">
        <f ca="1">tertiair!C16</f>
        <v>0</v>
      </c>
      <c r="D5" s="452">
        <f ca="1">tertiair!D16</f>
        <v>25319.976650322009</v>
      </c>
      <c r="E5" s="452">
        <f>tertiair!E16</f>
        <v>110.63424234709106</v>
      </c>
      <c r="F5" s="452">
        <f ca="1">tertiair!F16</f>
        <v>1324.5446394511262</v>
      </c>
      <c r="G5" s="452">
        <f>tertiair!G16</f>
        <v>0</v>
      </c>
      <c r="H5" s="452">
        <f>tertiair!H16</f>
        <v>0</v>
      </c>
      <c r="I5" s="452">
        <f>tertiair!I16</f>
        <v>0</v>
      </c>
      <c r="J5" s="452">
        <f>tertiair!J16</f>
        <v>0</v>
      </c>
      <c r="K5" s="452">
        <f>tertiair!K16</f>
        <v>0</v>
      </c>
      <c r="L5" s="452">
        <f ca="1">tertiair!L16</f>
        <v>0</v>
      </c>
      <c r="M5" s="452">
        <f>tertiair!M16</f>
        <v>0</v>
      </c>
      <c r="N5" s="452">
        <f ca="1">tertiair!N16</f>
        <v>466.77794332540338</v>
      </c>
      <c r="O5" s="452">
        <f>tertiair!O16</f>
        <v>4.6900000000000004</v>
      </c>
      <c r="P5" s="453">
        <f>tertiair!P16</f>
        <v>38.133333333333333</v>
      </c>
      <c r="Q5" s="451">
        <f t="shared" ref="Q5:Q14" ca="1" si="0">SUM(B5:P5)</f>
        <v>36410.364881778965</v>
      </c>
    </row>
    <row r="6" spans="1:17">
      <c r="A6" s="451" t="s">
        <v>193</v>
      </c>
      <c r="B6" s="452">
        <f>'openbare verlichting'!B8</f>
        <v>764.89599999999996</v>
      </c>
      <c r="C6" s="452"/>
      <c r="D6" s="452"/>
      <c r="E6" s="452"/>
      <c r="F6" s="452"/>
      <c r="G6" s="452"/>
      <c r="H6" s="452"/>
      <c r="I6" s="452"/>
      <c r="J6" s="452"/>
      <c r="K6" s="452"/>
      <c r="L6" s="452"/>
      <c r="M6" s="452"/>
      <c r="N6" s="452"/>
      <c r="O6" s="452"/>
      <c r="P6" s="453"/>
      <c r="Q6" s="451">
        <f t="shared" si="0"/>
        <v>764.89599999999996</v>
      </c>
    </row>
    <row r="7" spans="1:17">
      <c r="A7" s="451" t="s">
        <v>111</v>
      </c>
      <c r="B7" s="452">
        <f>landbouw!B8</f>
        <v>2620.7384999999999</v>
      </c>
      <c r="C7" s="452">
        <f>landbouw!C8</f>
        <v>0</v>
      </c>
      <c r="D7" s="452">
        <f>landbouw!D8</f>
        <v>537.32765227870163</v>
      </c>
      <c r="E7" s="452">
        <f>landbouw!E8</f>
        <v>24.274377653183382</v>
      </c>
      <c r="F7" s="452">
        <f>landbouw!F8</f>
        <v>6649.3128246719089</v>
      </c>
      <c r="G7" s="452">
        <f>landbouw!G8</f>
        <v>0</v>
      </c>
      <c r="H7" s="452">
        <f>landbouw!H8</f>
        <v>0</v>
      </c>
      <c r="I7" s="452">
        <f>landbouw!I8</f>
        <v>0</v>
      </c>
      <c r="J7" s="452">
        <f>landbouw!J8</f>
        <v>401.78845957702163</v>
      </c>
      <c r="K7" s="452">
        <f>landbouw!K8</f>
        <v>0</v>
      </c>
      <c r="L7" s="452">
        <f>landbouw!L8</f>
        <v>0</v>
      </c>
      <c r="M7" s="452">
        <f>landbouw!M8</f>
        <v>0</v>
      </c>
      <c r="N7" s="452">
        <f>landbouw!N8</f>
        <v>0</v>
      </c>
      <c r="O7" s="452">
        <f>landbouw!O8</f>
        <v>0</v>
      </c>
      <c r="P7" s="453">
        <f>landbouw!P8</f>
        <v>0</v>
      </c>
      <c r="Q7" s="451">
        <f t="shared" si="0"/>
        <v>10233.441814180815</v>
      </c>
    </row>
    <row r="8" spans="1:17">
      <c r="A8" s="451" t="s">
        <v>649</v>
      </c>
      <c r="B8" s="452">
        <f>industrie!B18</f>
        <v>131257.10200000001</v>
      </c>
      <c r="C8" s="452">
        <f>industrie!C18</f>
        <v>1632.8571428571429</v>
      </c>
      <c r="D8" s="452">
        <f>industrie!D18</f>
        <v>119589.5689440462</v>
      </c>
      <c r="E8" s="452">
        <f>industrie!E18</f>
        <v>6396.2886674163856</v>
      </c>
      <c r="F8" s="452">
        <f>industrie!F18</f>
        <v>49636.808815415308</v>
      </c>
      <c r="G8" s="452">
        <f>industrie!G18</f>
        <v>0</v>
      </c>
      <c r="H8" s="452">
        <f>industrie!H18</f>
        <v>0</v>
      </c>
      <c r="I8" s="452">
        <f>industrie!I18</f>
        <v>0</v>
      </c>
      <c r="J8" s="452">
        <f>industrie!J18</f>
        <v>760.69003099732572</v>
      </c>
      <c r="K8" s="452">
        <f>industrie!K18</f>
        <v>0</v>
      </c>
      <c r="L8" s="452">
        <f>industrie!L18</f>
        <v>0</v>
      </c>
      <c r="M8" s="452">
        <f>industrie!M18</f>
        <v>0</v>
      </c>
      <c r="N8" s="452">
        <f>industrie!N18</f>
        <v>12610.015227840322</v>
      </c>
      <c r="O8" s="452">
        <f>industrie!O18</f>
        <v>0</v>
      </c>
      <c r="P8" s="453">
        <f>industrie!P18</f>
        <v>0</v>
      </c>
      <c r="Q8" s="451">
        <f t="shared" si="0"/>
        <v>321883.33082857268</v>
      </c>
    </row>
    <row r="9" spans="1:17" s="457" customFormat="1">
      <c r="A9" s="455" t="s">
        <v>570</v>
      </c>
      <c r="B9" s="456">
        <f>transport!B14</f>
        <v>26.7921633212414</v>
      </c>
      <c r="C9" s="456">
        <f>transport!C14</f>
        <v>0</v>
      </c>
      <c r="D9" s="456">
        <f>transport!D14</f>
        <v>49.125155930087963</v>
      </c>
      <c r="E9" s="456">
        <f>transport!E14</f>
        <v>555.61518160330138</v>
      </c>
      <c r="F9" s="456">
        <f>transport!F14</f>
        <v>0</v>
      </c>
      <c r="G9" s="456">
        <f>transport!G14</f>
        <v>245558.51885463495</v>
      </c>
      <c r="H9" s="456">
        <f>transport!H14</f>
        <v>30956.318072533959</v>
      </c>
      <c r="I9" s="456">
        <f>transport!I14</f>
        <v>0</v>
      </c>
      <c r="J9" s="456">
        <f>transport!J14</f>
        <v>0</v>
      </c>
      <c r="K9" s="456">
        <f>transport!K14</f>
        <v>0</v>
      </c>
      <c r="L9" s="456">
        <f>transport!L14</f>
        <v>0</v>
      </c>
      <c r="M9" s="456">
        <f>transport!M14</f>
        <v>15181.039537881798</v>
      </c>
      <c r="N9" s="456">
        <f>transport!N14</f>
        <v>0</v>
      </c>
      <c r="O9" s="456">
        <f>transport!O14</f>
        <v>0</v>
      </c>
      <c r="P9" s="456">
        <f>transport!P14</f>
        <v>0</v>
      </c>
      <c r="Q9" s="455">
        <f>SUM(B9:P9)</f>
        <v>292327.40896590531</v>
      </c>
    </row>
    <row r="10" spans="1:17">
      <c r="A10" s="451" t="s">
        <v>560</v>
      </c>
      <c r="B10" s="452">
        <f>transport!B54</f>
        <v>0</v>
      </c>
      <c r="C10" s="452">
        <f>transport!C54</f>
        <v>0</v>
      </c>
      <c r="D10" s="452">
        <f>transport!D54</f>
        <v>0</v>
      </c>
      <c r="E10" s="452">
        <f>transport!E54</f>
        <v>0</v>
      </c>
      <c r="F10" s="452">
        <f>transport!F54</f>
        <v>0</v>
      </c>
      <c r="G10" s="452">
        <f>transport!G54</f>
        <v>452.50100385883093</v>
      </c>
      <c r="H10" s="452">
        <f>transport!H54</f>
        <v>0</v>
      </c>
      <c r="I10" s="452">
        <f>transport!I54</f>
        <v>0</v>
      </c>
      <c r="J10" s="452">
        <f>transport!J54</f>
        <v>0</v>
      </c>
      <c r="K10" s="452">
        <f>transport!K54</f>
        <v>0</v>
      </c>
      <c r="L10" s="452">
        <f>transport!L54</f>
        <v>0</v>
      </c>
      <c r="M10" s="452">
        <f>transport!M54</f>
        <v>25.863580099695405</v>
      </c>
      <c r="N10" s="452">
        <f>transport!N54</f>
        <v>0</v>
      </c>
      <c r="O10" s="452">
        <f>transport!O54</f>
        <v>0</v>
      </c>
      <c r="P10" s="453">
        <f>transport!P54</f>
        <v>0</v>
      </c>
      <c r="Q10" s="451">
        <f t="shared" si="0"/>
        <v>478.36458395852634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580.94640000000004</v>
      </c>
      <c r="C14" s="459"/>
      <c r="D14" s="459">
        <f>'SEAP template'!E25</f>
        <v>473.31425274706601</v>
      </c>
      <c r="E14" s="459"/>
      <c r="F14" s="459"/>
      <c r="G14" s="459"/>
      <c r="H14" s="459"/>
      <c r="I14" s="459"/>
      <c r="J14" s="459"/>
      <c r="K14" s="459"/>
      <c r="L14" s="459"/>
      <c r="M14" s="459"/>
      <c r="N14" s="459"/>
      <c r="O14" s="459"/>
      <c r="P14" s="460"/>
      <c r="Q14" s="451">
        <f t="shared" si="0"/>
        <v>1054.2606527470662</v>
      </c>
    </row>
    <row r="15" spans="1:17" s="461" customFormat="1">
      <c r="A15" s="1017" t="s">
        <v>564</v>
      </c>
      <c r="B15" s="957">
        <f ca="1">SUM(B4:B14)</f>
        <v>161458.12701804144</v>
      </c>
      <c r="C15" s="957">
        <f t="shared" ref="C15:Q15" ca="1" si="1">SUM(C4:C14)</f>
        <v>1632.8571428571429</v>
      </c>
      <c r="D15" s="957">
        <f t="shared" ca="1" si="1"/>
        <v>157479.15466174835</v>
      </c>
      <c r="E15" s="957">
        <f t="shared" si="1"/>
        <v>19603.972428931076</v>
      </c>
      <c r="F15" s="957">
        <f t="shared" ca="1" si="1"/>
        <v>88962.520593074092</v>
      </c>
      <c r="G15" s="957">
        <f t="shared" si="1"/>
        <v>246011.01985849379</v>
      </c>
      <c r="H15" s="957">
        <f t="shared" si="1"/>
        <v>30956.318072533959</v>
      </c>
      <c r="I15" s="957">
        <f t="shared" si="1"/>
        <v>0</v>
      </c>
      <c r="J15" s="957">
        <f t="shared" si="1"/>
        <v>3141.8561130935645</v>
      </c>
      <c r="K15" s="957">
        <f t="shared" si="1"/>
        <v>0</v>
      </c>
      <c r="L15" s="957">
        <f t="shared" ca="1" si="1"/>
        <v>0</v>
      </c>
      <c r="M15" s="957">
        <f t="shared" si="1"/>
        <v>15206.903117981494</v>
      </c>
      <c r="N15" s="957">
        <f t="shared" ca="1" si="1"/>
        <v>22202.398941574946</v>
      </c>
      <c r="O15" s="957">
        <f t="shared" si="1"/>
        <v>134.44666666666669</v>
      </c>
      <c r="P15" s="957">
        <f t="shared" si="1"/>
        <v>705.4666666666667</v>
      </c>
      <c r="Q15" s="957">
        <f t="shared" ca="1" si="1"/>
        <v>747495.04128166323</v>
      </c>
    </row>
    <row r="17" spans="1:17">
      <c r="A17" s="462" t="s">
        <v>565</v>
      </c>
      <c r="B17" s="761">
        <f ca="1">huishoudens!B10</f>
        <v>0.21076920463369284</v>
      </c>
      <c r="C17" s="761">
        <f ca="1">huishoudens!C10</f>
        <v>0.23764705882352941</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3596.1534183753288</v>
      </c>
      <c r="C22" s="452">
        <f t="shared" ref="C22:C32" ca="1" si="3">C4*$C$17</f>
        <v>0</v>
      </c>
      <c r="D22" s="452">
        <f t="shared" ref="D22:D32" si="4">D4*$D$17</f>
        <v>2324.9880852977053</v>
      </c>
      <c r="E22" s="452">
        <f t="shared" ref="E22:E32" si="5">E4*$E$17</f>
        <v>2841.395310899823</v>
      </c>
      <c r="F22" s="452">
        <f t="shared" ref="F22:F32" si="6">F4*$F$17</f>
        <v>8370.9451017140473</v>
      </c>
      <c r="G22" s="452">
        <f t="shared" ref="G22:G32" si="7">G4*$G$17</f>
        <v>0</v>
      </c>
      <c r="H22" s="452">
        <f t="shared" ref="H22:H32" si="8">H4*$H$17</f>
        <v>0</v>
      </c>
      <c r="I22" s="452">
        <f t="shared" ref="I22:I32" si="9">I4*$I$17</f>
        <v>0</v>
      </c>
      <c r="J22" s="452">
        <f t="shared" ref="J22:J32" si="10">J4*$J$17</f>
        <v>700.69967837180286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17834.181594658705</v>
      </c>
    </row>
    <row r="23" spans="1:17">
      <c r="A23" s="451" t="s">
        <v>155</v>
      </c>
      <c r="B23" s="452">
        <f t="shared" ca="1" si="2"/>
        <v>1927.6125394376904</v>
      </c>
      <c r="C23" s="452">
        <f t="shared" ca="1" si="3"/>
        <v>0</v>
      </c>
      <c r="D23" s="452">
        <f t="shared" ca="1" si="4"/>
        <v>5114.6352833650462</v>
      </c>
      <c r="E23" s="452">
        <f t="shared" si="5"/>
        <v>25.113973012789671</v>
      </c>
      <c r="F23" s="452">
        <f t="shared" ca="1" si="6"/>
        <v>353.65341873345068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7421.0152145489774</v>
      </c>
    </row>
    <row r="24" spans="1:17">
      <c r="A24" s="451" t="s">
        <v>193</v>
      </c>
      <c r="B24" s="452">
        <f t="shared" ca="1" si="2"/>
        <v>161.2165215474931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161.2165215474931</v>
      </c>
    </row>
    <row r="25" spans="1:17">
      <c r="A25" s="451" t="s">
        <v>111</v>
      </c>
      <c r="B25" s="452">
        <f t="shared" ca="1" si="2"/>
        <v>552.37096919789724</v>
      </c>
      <c r="C25" s="452">
        <f t="shared" ca="1" si="3"/>
        <v>0</v>
      </c>
      <c r="D25" s="452">
        <f t="shared" si="4"/>
        <v>108.54018576029773</v>
      </c>
      <c r="E25" s="452">
        <f t="shared" si="5"/>
        <v>5.5102837272726282</v>
      </c>
      <c r="F25" s="452">
        <f t="shared" si="6"/>
        <v>1775.3665241873998</v>
      </c>
      <c r="G25" s="452">
        <f t="shared" si="7"/>
        <v>0</v>
      </c>
      <c r="H25" s="452">
        <f t="shared" si="8"/>
        <v>0</v>
      </c>
      <c r="I25" s="452">
        <f t="shared" si="9"/>
        <v>0</v>
      </c>
      <c r="J25" s="452">
        <f t="shared" si="10"/>
        <v>142.23311469026564</v>
      </c>
      <c r="K25" s="452">
        <f t="shared" si="11"/>
        <v>0</v>
      </c>
      <c r="L25" s="452">
        <f t="shared" si="12"/>
        <v>0</v>
      </c>
      <c r="M25" s="452">
        <f t="shared" si="13"/>
        <v>0</v>
      </c>
      <c r="N25" s="452">
        <f t="shared" si="14"/>
        <v>0</v>
      </c>
      <c r="O25" s="452">
        <f t="shared" si="15"/>
        <v>0</v>
      </c>
      <c r="P25" s="453">
        <f t="shared" si="16"/>
        <v>0</v>
      </c>
      <c r="Q25" s="451">
        <f t="shared" ca="1" si="17"/>
        <v>2584.0210775631331</v>
      </c>
    </row>
    <row r="26" spans="1:17">
      <c r="A26" s="451" t="s">
        <v>649</v>
      </c>
      <c r="B26" s="452">
        <f t="shared" ca="1" si="2"/>
        <v>27664.954991063496</v>
      </c>
      <c r="C26" s="452">
        <f t="shared" ca="1" si="3"/>
        <v>388.04369747899159</v>
      </c>
      <c r="D26" s="452">
        <f t="shared" si="4"/>
        <v>24157.092926697333</v>
      </c>
      <c r="E26" s="452">
        <f t="shared" si="5"/>
        <v>1451.9575275035195</v>
      </c>
      <c r="F26" s="452">
        <f t="shared" si="6"/>
        <v>13253.027953715888</v>
      </c>
      <c r="G26" s="452">
        <f t="shared" si="7"/>
        <v>0</v>
      </c>
      <c r="H26" s="452">
        <f t="shared" si="8"/>
        <v>0</v>
      </c>
      <c r="I26" s="452">
        <f t="shared" si="9"/>
        <v>0</v>
      </c>
      <c r="J26" s="452">
        <f t="shared" si="10"/>
        <v>269.28427097305331</v>
      </c>
      <c r="K26" s="452">
        <f t="shared" si="11"/>
        <v>0</v>
      </c>
      <c r="L26" s="452">
        <f t="shared" si="12"/>
        <v>0</v>
      </c>
      <c r="M26" s="452">
        <f t="shared" si="13"/>
        <v>0</v>
      </c>
      <c r="N26" s="452">
        <f t="shared" si="14"/>
        <v>0</v>
      </c>
      <c r="O26" s="452">
        <f t="shared" si="15"/>
        <v>0</v>
      </c>
      <c r="P26" s="453">
        <f t="shared" si="16"/>
        <v>0</v>
      </c>
      <c r="Q26" s="451">
        <f t="shared" ca="1" si="17"/>
        <v>67184.36136743227</v>
      </c>
    </row>
    <row r="27" spans="1:17" s="457" customFormat="1">
      <c r="A27" s="455" t="s">
        <v>570</v>
      </c>
      <c r="B27" s="755">
        <f t="shared" ca="1" si="2"/>
        <v>5.6469629536340484</v>
      </c>
      <c r="C27" s="456">
        <f t="shared" ca="1" si="3"/>
        <v>0</v>
      </c>
      <c r="D27" s="456">
        <f t="shared" si="4"/>
        <v>9.9232814978777686</v>
      </c>
      <c r="E27" s="456">
        <f t="shared" si="5"/>
        <v>126.12464622394941</v>
      </c>
      <c r="F27" s="456">
        <f t="shared" si="6"/>
        <v>0</v>
      </c>
      <c r="G27" s="456">
        <f t="shared" si="7"/>
        <v>65564.124534187533</v>
      </c>
      <c r="H27" s="456">
        <f t="shared" si="8"/>
        <v>7708.1232000609562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73413.942624923948</v>
      </c>
    </row>
    <row r="28" spans="1:17">
      <c r="A28" s="451" t="s">
        <v>560</v>
      </c>
      <c r="B28" s="452">
        <f t="shared" ca="1" si="2"/>
        <v>0</v>
      </c>
      <c r="C28" s="452">
        <f t="shared" ca="1" si="3"/>
        <v>0</v>
      </c>
      <c r="D28" s="452">
        <f t="shared" si="4"/>
        <v>0</v>
      </c>
      <c r="E28" s="452">
        <f t="shared" si="5"/>
        <v>0</v>
      </c>
      <c r="F28" s="452">
        <f t="shared" si="6"/>
        <v>0</v>
      </c>
      <c r="G28" s="452">
        <f t="shared" si="7"/>
        <v>120.81776803030786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120.81776803030786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122.44561066280718</v>
      </c>
      <c r="C32" s="452">
        <f t="shared" ca="1" si="3"/>
        <v>0</v>
      </c>
      <c r="D32" s="452">
        <f t="shared" si="4"/>
        <v>95.609479054907339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218.05508971771451</v>
      </c>
    </row>
    <row r="33" spans="1:17" s="461" customFormat="1">
      <c r="A33" s="1017" t="s">
        <v>564</v>
      </c>
      <c r="B33" s="957">
        <f ca="1">SUM(B22:B32)</f>
        <v>34030.401013238348</v>
      </c>
      <c r="C33" s="957">
        <f t="shared" ref="C33:Q33" ca="1" si="18">SUM(C22:C32)</f>
        <v>388.04369747899159</v>
      </c>
      <c r="D33" s="957">
        <f t="shared" ca="1" si="18"/>
        <v>31810.789241673167</v>
      </c>
      <c r="E33" s="957">
        <f t="shared" si="18"/>
        <v>4450.1017413673544</v>
      </c>
      <c r="F33" s="957">
        <f t="shared" ca="1" si="18"/>
        <v>23752.992998350786</v>
      </c>
      <c r="G33" s="957">
        <f t="shared" si="18"/>
        <v>65684.942302217838</v>
      </c>
      <c r="H33" s="957">
        <f t="shared" si="18"/>
        <v>7708.1232000609562</v>
      </c>
      <c r="I33" s="957">
        <f t="shared" si="18"/>
        <v>0</v>
      </c>
      <c r="J33" s="957">
        <f t="shared" si="18"/>
        <v>1112.2170640351219</v>
      </c>
      <c r="K33" s="957">
        <f t="shared" si="18"/>
        <v>0</v>
      </c>
      <c r="L33" s="957">
        <f t="shared" ca="1" si="18"/>
        <v>0</v>
      </c>
      <c r="M33" s="957">
        <f t="shared" si="18"/>
        <v>0</v>
      </c>
      <c r="N33" s="957">
        <f t="shared" ca="1" si="18"/>
        <v>0</v>
      </c>
      <c r="O33" s="957">
        <f t="shared" si="18"/>
        <v>0</v>
      </c>
      <c r="P33" s="957">
        <f t="shared" si="18"/>
        <v>0</v>
      </c>
      <c r="Q33" s="957">
        <f t="shared" ca="1" si="18"/>
        <v>168937.61125842255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7560.5097103353228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1143</v>
      </c>
      <c r="D8" s="1034">
        <f>'SEAP template'!D76</f>
        <v>1344.7058823529412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271.63058823529417</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7560.5097103353228</v>
      </c>
      <c r="C10" s="1038">
        <f>SUM(C4:C9)</f>
        <v>1143</v>
      </c>
      <c r="D10" s="1038">
        <f t="shared" ref="D10:H10" si="0">SUM(D8:D9)</f>
        <v>1344.7058823529412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271.63058823529417</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0.21076920463369284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1632.8571428571429</v>
      </c>
      <c r="D17" s="1035">
        <f>'SEAP template'!D87</f>
        <v>1921.0084033613443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388.04369747899159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1632.8571428571429</v>
      </c>
      <c r="D20" s="1038">
        <f t="shared" ref="D20:H20" si="2">SUM(D17:D19)</f>
        <v>1921.0084033613443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388.04369747899159</v>
      </c>
    </row>
    <row r="22" spans="1:16">
      <c r="A22" s="462" t="s">
        <v>873</v>
      </c>
      <c r="B22" s="761" t="s">
        <v>867</v>
      </c>
      <c r="C22" s="761">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0.21076920463369284</v>
      </c>
      <c r="C17" s="499">
        <f ca="1">'EF ele_warmte'!B22</f>
        <v>0.23764705882352941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2020-06-20T16:10:39Z</dcterms:modified>
</cp:coreProperties>
</file>