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<sst xmlns="http://schemas.openxmlformats.org/spreadsheetml/2006/main" count="2434" uniqueCount="913">
  <si>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</si>
  <si>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</si>
  <si>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</si>
  <si>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</si>
  <si>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</si>
  <si>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</si>
  <si>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</si>
  <si>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</si>
  <si>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</si>
  <si>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</si>
  <si>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</si>
  <si>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</si>
  <si>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</si>
  <si>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</si>
  <si>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</si>
  <si>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</si>
  <si>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</si>
  <si>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</si>
  <si>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</si>
  <si>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</si>
  <si>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</si>
  <si>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</si>
  <si>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</si>
  <si>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</si>
  <si>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</si>
  <si>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</si>
  <si>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</si>
  <si>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</si>
  <si>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</si>
  <si>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</si>
  <si>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</si>
  <si>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</si>
  <si>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</si>
  <si>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</si>
  <si>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</si>
  <si>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</si>
  <si>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</si>
  <si>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</si>
  <si>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</si>
  <si>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</si>
  <si>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</si>
  <si>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</si>
  <si>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</si>
  <si>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</si>
  <si>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</si>
  <si>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</si>
  <si>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</si>
  <si>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</si>
  <si>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</si>
  <si>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</si>
  <si>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</si>
  <si>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</si>
  <si>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</si>
  <si>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</si>
  <si>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</si>
  <si>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</si>
  <si>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</si>
  <si>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</si>
  <si>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</si>
  <si>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</si>
  <si>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</si>
  <si>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</si>
  <si>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</si>
  <si>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</si>
  <si>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</si>
  <si>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</si>
  <si>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</si>
  <si>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</si>
  <si>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</si>
  <si>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</si>
  <si>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</si>
  <si>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</si>
  <si>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</si>
  <si>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</si>
  <si>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</si>
  <si>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</si>
  <si>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</si>
  <si>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</si>
  <si>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</si>
  <si>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</si>
  <si>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</si>
  <si>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</si>
  <si>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</si>
  <si>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</si>
  <si>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</si>
  <si>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</si>
  <si>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</si>
  <si>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</si>
  <si>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</si>
  <si>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</si>
  <si>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</si>
  <si>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</si>
  <si>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</si>
  <si>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</si>
  <si>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</si>
  <si>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</si>
  <si>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</si>
  <si>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</si>
  <si>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</si>
  <si>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</si>
  <si>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</si>
  <si>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</si>
  <si>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</si>
  <si>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</si>
  <si>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</si>
  <si>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</si>
  <si>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</si>
  <si>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</si>
  <si>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</si>
  <si>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</si>
  <si>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</si>
  <si>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</si>
  <si>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</si>
  <si>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</si>
  <si>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</si>
  <si>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</si>
  <si>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</si>
  <si>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</si>
  <si>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</si>
  <si>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</si>
  <si>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</si>
  <si>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</si>
  <si>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</si>
  <si>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</si>
  <si>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</si>
  <si>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</si>
  <si>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</si>
  <si>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</si>
  <si>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</si>
  <si>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</si>
  <si>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</si>
  <si>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</si>
  <si>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</si>
  <si>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</si>
  <si>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</si>
  <si>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</si>
  <si>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</si>
  <si>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</si>
  <si>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</si>
  <si>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</si>
  <si>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</si>
  <si>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</si>
  <si>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</si>
  <si>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</si>
  <si>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</si>
  <si>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</si>
  <si>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</si>
  <si>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</si>
  <si>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</si>
  <si>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</si>
  <si>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</si>
  <si>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</si>
  <si>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</si>
  <si>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</si>
  <si>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</si>
  <si>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</si>
  <si>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</si>
  <si>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</si>
  <si>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</si>
  <si>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</si>
  <si>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</si>
  <si>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</si>
  <si>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</si>
  <si>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</si>
  <si>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</si>
  <si>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</si>
  <si>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</si>
  <si>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</si>
  <si>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</si>
  <si>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</si>
  <si>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</si>
  <si>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</si>
  <si>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</si>
  <si>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</si>
  <si>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</si>
  <si>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</si>
  <si>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</si>
  <si>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</si>
  <si>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</si>
  <si>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</si>
  <si>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</si>
  <si>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</si>
  <si>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</si>
  <si>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</si>
  <si>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</si>
  <si>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</si>
  <si>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</si>
  <si>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</si>
  <si>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</si>
  <si>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</si>
  <si>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</si>
  <si>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</si>
  <si>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</si>
  <si>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</si>
  <si>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</si>
  <si>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</si>
  <si>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</si>
  <si>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</si>
  <si>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</si>
  <si>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</si>
  <si>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</si>
  <si>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</si>
  <si>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</si>
  <si>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</si>
  <si>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</si>
  <si>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</si>
  <si>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</si>
  <si>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</si>
  <si>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</si>
  <si>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</si>
  <si>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</si>
  <si>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</si>
  <si>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</si>
  <si>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</si>
  <si>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</si>
  <si>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</si>
  <si>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</si>
  <si>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</si>
  <si>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</si>
  <si>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</si>
  <si>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</si>
  <si>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</si>
  <si>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</si>
  <si>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</si>
  <si>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</si>
  <si>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</si>
  <si>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</si>
  <si>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</si>
  <si>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</si>
  <si>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</si>
  <si>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</si>
  <si>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</si>
  <si>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</si>
  <si>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</si>
  <si>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</si>
  <si>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</si>
  <si>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</si>
  <si>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</si>
  <si>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</si>
  <si>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</si>
  <si>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</si>
  <si>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</si>
  <si>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</si>
  <si>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</si>
  <si>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</si>
  <si>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</si>
  <si>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</si>
  <si>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</si>
  <si>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</si>
  <si>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</si>
  <si>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</si>
  <si>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</si>
  <si>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</si>
  <si>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</si>
  <si>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</si>
  <si>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</si>
  <si>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</si>
  <si>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</si>
  <si>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</si>
  <si>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</si>
  <si>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</si>
  <si>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</si>
  <si>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</si>
  <si>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</si>
  <si>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</si>
  <si>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</si>
  <si>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</si>
  <si>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</si>
  <si>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</si>
  <si>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</si>
  <si>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</si>
  <si>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</si>
  <si>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</si>
  <si>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</si>
  <si>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</si>
  <si>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</si>
  <si>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</si>
  <si>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</si>
  <si>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</si>
  <si>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</si>
  <si>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</si>
  <si>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</si>
  <si>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</si>
  <si>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</si>
  <si>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</si>
  <si>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</si>
  <si>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</si>
  <si>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</si>
  <si>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</si>
  <si>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</si>
  <si>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</si>
  <si>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</si>
  <si>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</si>
  <si>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</si>
  <si>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</si>
  <si>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</si>
  <si>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</si>
  <si>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</si>
  <si>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</si>
  <si>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</si>
  <si>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</si>
  <si>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</si>
  <si>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</si>
  <si>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</si>
  <si>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</si>
  <si>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</si>
  <si>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</si>
  <si>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</si>
  <si>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</si>
  <si>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</si>
  <si>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</si>
  <si>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</si>
  <si>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</si>
  <si>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</si>
  <si>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</si>
  <si>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</si>
  <si>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</si>
  <si>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</si>
  <si>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</si>
  <si>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</si>
  <si>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</si>
  <si>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</si>
  <si>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</si>
  <si>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</si>
  <si>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</si>
  <si>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</si>
  <si>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</si>
  <si>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</si>
  <si>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</si>
  <si>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</si>
  <si>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</si>
  <si>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</si>
  <si>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</si>
  <si>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</si>
  <si>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</si>
  <si>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</si>
  <si>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</si>
  <si>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</si>
  <si>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</si>
  <si>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</si>
  <si>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</si>
  <si>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</si>
  <si>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</si>
  <si>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</si>
  <si>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</si>
  <si>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</si>
  <si>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</si>
  <si>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</si>
  <si>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</si>
  <si>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</si>
  <si>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</si>
  <si>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</si>
  <si>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</si>
  <si>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</si>
  <si>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</si>
  <si>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</si>
  <si>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</si>
  <si>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</si>
  <si>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</si>
  <si>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</si>
  <si>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</si>
  <si>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</si>
  <si>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</si>
  <si>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</si>
  <si>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</si>
  <si>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</si>
  <si>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</si>
  <si>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</si>
  <si>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</si>
  <si>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</si>
  <si>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</si>
  <si>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</si>
  <si>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</si>
  <si>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</si>
  <si>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</si>
  <si>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</si>
  <si>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</si>
  <si>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</si>
  <si>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</si>
  <si>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</si>
  <si>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</si>
  <si>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</si>
  <si>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</si>
  <si>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</si>
  <si>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</si>
  <si>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</si>
  <si>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</si>
  <si>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</si>
  <si>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</si>
  <si>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</si>
  <si>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</si>
  <si>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</si>
  <si>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</si>
  <si>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</si>
  <si>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</si>
  <si>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</si>
  <si>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</si>
  <si>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</si>
  <si>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</si>
  <si>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</si>
  <si>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</si>
  <si>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</si>
  <si>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</si>
  <si>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</si>
  <si>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</si>
  <si>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</si>
  <si>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</si>
  <si>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</si>
  <si>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</si>
  <si>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</si>
  <si>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</si>
  <si>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</si>
  <si>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</si>
  <si>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</si>
  <si>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</si>
  <si>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</si>
  <si>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</si>
  <si>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</si>
  <si>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</si>
  <si>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</si>
  <si>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</si>
  <si>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</si>
  <si>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</si>
  <si>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</si>
  <si>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</si>
  <si>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</si>
  <si>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</si>
  <si>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</si>
  <si>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</si>
  <si>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</si>
  <si>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</si>
  <si>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</si>
  <si>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</si>
  <si>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</si>
  <si>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</si>
  <si>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</si>
  <si>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</si>
  <si>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</si>
  <si>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</si>
  <si>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</si>
  <si>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</si>
  <si>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</si>
  <si>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</si>
  <si>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</si>
  <si>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</si>
  <si>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</si>
  <si>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</si>
  <si>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</si>
  <si>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</si>
  <si>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</si>
  <si>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</si>
  <si>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</si>
  <si>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</si>
  <si>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</si>
  <si>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</si>
  <si>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</si>
  <si>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</si>
  <si>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</si>
  <si>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</si>
  <si>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</si>
  <si>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</si>
  <si>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</si>
  <si>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</si>
  <si>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</si>
  <si>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</si>
  <si>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</si>
  <si>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</si>
  <si>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</si>
  <si>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</si>
  <si>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</si>
  <si>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</si>
  <si>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</si>
  <si>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</si>
  <si>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</si>
  <si>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</si>
  <si>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</si>
  <si>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</si>
  <si>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</si>
  <si>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</si>
  <si>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</si>
  <si>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</si>
  <si>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</si>
  <si>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</si>
  <si>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</si>
  <si>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</si>
  <si>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</si>
  <si>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</si>
  <si>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</si>
  <si>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</si>
  <si>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</si>
  <si>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</si>
  <si>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</si>
  <si>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</si>
  <si>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</si>
  <si>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</si>
  <si>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</si>
  <si>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</si>
  <si>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</si>
  <si>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</si>
  <si>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</si>
  <si>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</si>
  <si>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</si>
  <si>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</si>
  <si>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</si>
  <si>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</si>
  <si>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</si>
  <si>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</si>
  <si>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</si>
  <si>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</si>
  <si>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</si>
  <si>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</si>
  <si>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</si>
  <si>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</si>
  <si>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</si>
  <si>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</si>
  <si>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</si>
  <si>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</si>
  <si>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</si>
  <si>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</si>
  <si>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</si>
  <si>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</si>
  <si>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</si>
  <si>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</si>
  <si>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</si>
  <si>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</si>
  <si>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</si>
  <si>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</si>
  <si>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</si>
  <si>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</si>
  <si>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</si>
  <si>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</si>
  <si>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</si>
  <si>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</si>
  <si>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</si>
  <si>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</si>
  <si>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</si>
  <si>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</si>
  <si>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</si>
  <si>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</si>
  <si>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</si>
  <si>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</si>
  <si>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</si>
  <si>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</si>
  <si>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</si>
  <si>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</si>
  <si>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</si>
  <si>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</si>
  <si>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</si>
  <si>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</si>
  <si>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</si>
  <si>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</si>
  <si>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</si>
  <si>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</si>
  <si>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</si>
  <si>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</si>
  <si>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</si>
  <si>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</si>
  <si>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</si>
  <si>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</si>
  <si>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</si>
  <si>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</si>
  <si>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</si>
  <si>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</si>
  <si>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</si>
  <si>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</si>
  <si>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</si>
  <si>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</si>
  <si>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</si>
  <si>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</si>
  <si>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</si>
  <si>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</si>
  <si>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</si>
  <si>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</si>
  <si>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</si>
  <si>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</si>
  <si>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</si>
  <si>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</si>
  <si>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</si>
  <si>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</si>
  <si>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</si>
  <si>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</si>
  <si>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</si>
  <si>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</si>
  <si>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</si>
  <si>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</si>
  <si>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</si>
  <si>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</si>
  <si>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</si>
  <si>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</si>
  <si>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</si>
  <si>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</si>
  <si>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</si>
  <si>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</si>
  <si>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</si>
  <si>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</si>
  <si>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</si>
  <si>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</si>
  <si>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</si>
  <si>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</si>
  <si>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</si>
  <si>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</si>
  <si>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</si>
  <si>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</si>
  <si>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</si>
  <si>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</si>
  <si>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</si>
  <si>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</si>
  <si>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</si>
  <si>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</si>
  <si>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</si>
  <si>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</si>
  <si>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</si>
  <si>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</si>
  <si>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</si>
  <si>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</si>
  <si>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</si>
  <si>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</si>
  <si>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</si>
  <si>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</si>
  <si>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</si>
  <si>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</si>
  <si>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</si>
  <si>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</si>
  <si>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</si>
  <si>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</si>
  <si>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</si>
  <si>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</si>
  <si>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</si>
  <si>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</si>
  <si>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</si>
  <si>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</si>
  <si>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</si>
  <si>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</si>
  <si>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</si>
  <si>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</si>
  <si>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</si>
  <si>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</si>
  <si>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</si>
  <si>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</si>
  <si>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</si>
  <si>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</si>
  <si>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</si>
  <si>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</si>
  <si>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</si>
  <si>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</si>
  <si>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</si>
  <si>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</si>
  <si>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</si>
  <si>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</si>
  <si>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</si>
  <si>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</si>
  <si>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</si>
  <si>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</si>
  <si>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</si>
  <si>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</si>
  <si>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</si>
  <si>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</si>
  <si>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</si>
  <si>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</si>
  <si>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</si>
  <si>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</si>
  <si>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</si>
  <si>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</si>
  <si>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</si>
  <si>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</si>
  <si>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</si>
  <si>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</si>
  <si>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</si>
  <si>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</si>
  <si>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</si>
  <si>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</si>
  <si>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</si>
  <si>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</si>
  <si>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</si>
  <si>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</si>
  <si>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</si>
  <si>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</si>
  <si>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</si>
  <si>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</si>
  <si>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</si>
  <si>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</si>
  <si>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</si>
  <si>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</si>
  <si>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</si>
  <si>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</si>
  <si>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</si>
  <si>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</si>
  <si>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</si>
  <si>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</si>
  <si>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</si>
  <si>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</si>
  <si>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</si>
  <si>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</si>
  <si>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</si>
  <si>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</si>
  <si>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</si>
  <si>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</si>
  <si>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</si>
  <si>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</si>
  <si>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</si>
  <si>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</si>
  <si>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</si>
  <si>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</si>
  <si>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</si>
  <si>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</si>
  <si>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</si>
  <si>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</si>
  <si>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</si>
  <si>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</si>
  <si>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</si>
  <si>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</si>
  <si>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</si>
  <si>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</si>
  <si>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</si>
  <si>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</si>
  <si>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</si>
  <si>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</si>
  <si>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</si>
  <si>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</si>
  <si>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</si>
  <si>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</si>
  <si>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</si>
  <si>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</si>
  <si>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</si>
  <si>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</si>
  <si>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</si>
  <si>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</si>
  <si>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</si>
  <si>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</si>
  <si>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</si>
  <si>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</si>
  <si>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</si>
  <si>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</si>
  <si>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</si>
  <si>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</si>
  <si>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</si>
  <si>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</si>
  <si>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</si>
  <si>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</si>
  <si>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</si>
  <si>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</si>
  <si>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</si>
  <si>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</si>
  <si>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</si>
  <si>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</si>
  <si>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</si>
  <si>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</si>
  <si>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</si>
  <si>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</si>
  <si>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</si>
  <si>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</si>
  <si>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</si>
  <si>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</si>
  <si>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</si>
  <si>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</si>
  <si>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</si>
  <si>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</si>
  <si>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</si>
  <si>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</si>
  <si>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</si>
  <si>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</si>
  <si>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</si>
  <si>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</si>
  <si>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</si>
  <si>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</si>
  <si>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</si>
  <si>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</si>
  <si>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</si>
  <si>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</si>
  <si>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</si>
  <si>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</si>
  <si>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</si>
  <si>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</si>
  <si>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</si>
  <si>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</si>
  <si>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</si>
  <si>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</si>
  <si>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</si>
  <si>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</si>
  <si>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</si>
  <si>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</si>
  <si>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</si>
  <si>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</si>
  <si>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</si>
  <si>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</si>
  <si>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</si>
  <si>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</si>
  <si>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</si>
  <si>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</si>
  <si>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</si>
  <si>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</si>
  <si>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</si>
  <si>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</si>
  <si>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</si>
  <si>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</si>
  <si>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</si>
  <si>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</si>
  <si>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</si>
  <si>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</si>
  <si>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</si>
  <si>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</si>
  <si>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</si>
  <si>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</si>
  <si>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</si>
  <si>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</si>
  <si>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</si>
  <si>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</si>
  <si>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</si>
  <si>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</si>
  <si>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</si>
  <si>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</si>
  <si>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</si>
  <si>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</si>
  <si>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</si>
  <si>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</si>
  <si>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</si>
  <si>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</si>
  <si>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</si>
  <si>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</si>
  <si>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</si>
  <si>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</si>
  <si>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</si>
  <si>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</si>
  <si>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</si>
  <si>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</si>
  <si>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</si>
  <si>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</si>
  <si>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</si>
  <si>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</si>
  <si>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</si>
  <si>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</si>
  <si>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</si>
  <si>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</si>
  <si>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</si>
  <si>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</si>
  <si>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</si>
  <si>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</si>
  <si>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</si>
  <si>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</si>
  <si>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</si>
  <si>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</si>
  <si>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</si>
  <si>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</si>
  <si>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</si>
  <si>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</si>
  <si>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</si>
  <si>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</si>
  <si>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</si>
  <si>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</si>
  <si>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</si>
  <si>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</si>
  <si>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</si>
  <si>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</si>
  <si>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</si>
  <si>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</si>
  <si>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</si>
  <si>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</si>
  <si>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</si>
  <si>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</si>
  <si>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</si>
  <si>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</si>
  <si>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</si>
  <si>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</si>
  <si>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</si>
  <si>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</si>
  <si>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</si>
  <si>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</si>
  <si>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</si>
  <si>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</si>
  <si>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</si>
  <si>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</si>
  <si>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</si>
  <si>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</si>
  <si>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</si>
  <si>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</si>
  <si>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</si>
  <si>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</si>
  <si>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</si>
  <si>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</si>
  <si>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</si>
  <si>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</si>
  <si>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</si>
  <si>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</si>
  <si>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</si>
  <si>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</si>
  <si>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</si>
  <si>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</si>
  <si>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</si>
  <si>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</si>
  <si>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</si>
  <si>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</si>
  <si>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</si>
  <si>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</si>
  <si>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</si>
  <si>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</si>
  <si>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</si>
  <si>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</si>
  <si>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</si>
  <si>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</si>
  <si>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</si>
  <si>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</si>
  <si>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</si>
  <si>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</si>
  <si>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</si>
  <si>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</si>
  <si>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</si>
  <si>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</si>
  <si>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44073</t>
  </si>
  <si>
    <t>WACHTEBEKE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</si>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</sst>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54214.611475364567</c:v>
                </c:pt>
                <c:pt idx="1">
                  <c:v>19565.03550688587</c:v>
                </c:pt>
                <c:pt idx="2">
                  <c:v>608.41600000000005</c:v>
                </c:pt>
                <c:pt idx="3">
                  <c:v>3145.8856703591682</c:v>
                </c:pt>
                <c:pt idx="4">
                  <c:v>1501.7418814713928</c:v>
                </c:pt>
                <c:pt idx="5">
                  <c:v>107508.29695492017</c:v>
                </c:pt>
                <c:pt idx="6">
                  <c:v>796.92907615396837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54214.611475364567</c:v>
                </c:pt>
                <c:pt idx="1">
                  <c:v>19565.03550688587</c:v>
                </c:pt>
                <c:pt idx="2">
                  <c:v>608.41600000000005</c:v>
                </c:pt>
                <c:pt idx="3">
                  <c:v>3145.8856703591682</c:v>
                </c:pt>
                <c:pt idx="4">
                  <c:v>1501.7418814713928</c:v>
                </c:pt>
                <c:pt idx="5">
                  <c:v>107508.29695492017</c:v>
                </c:pt>
                <c:pt idx="6">
                  <c:v>796.92907615396837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9604.5700217509184</c:v>
                </c:pt>
                <c:pt idx="2">
                  <c:v>3441.9208623617346</c:v>
                </c:pt>
                <c:pt idx="3">
                  <c:v>83.24450574142125</c:v>
                </c:pt>
                <c:pt idx="4">
                  <c:v>723.81148584620848</c:v>
                </c:pt>
                <c:pt idx="5">
                  <c:v>278.68359483117734</c:v>
                </c:pt>
                <c:pt idx="6">
                  <c:v>26987.631289760695</c:v>
                </c:pt>
                <c:pt idx="7">
                  <c:v>201.27575386668957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9604.5700217509184</c:v>
                </c:pt>
                <c:pt idx="2">
                  <c:v>3441.9208623617346</c:v>
                </c:pt>
                <c:pt idx="3">
                  <c:v>83.24450574142125</c:v>
                </c:pt>
                <c:pt idx="4">
                  <c:v>723.81148584620848</c:v>
                </c:pt>
                <c:pt idx="5">
                  <c:v>278.68359483117734</c:v>
                </c:pt>
                <c:pt idx="6">
                  <c:v>26987.631289760695</c:v>
                </c:pt>
                <c:pt idx="7">
                  <c:v>201.27575386668957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44073</v>
      </c>
      <c r="B6" s="391"/>
      <c r="C6" s="392"/>
    </row>
    <row r="7" spans="1:7" s="389" customFormat="1" ht="15.75" customHeight="1">
      <c r="A7" s="393" t="str">
        <f>txtMunicipality</f>
        <v>WACHTEBEKE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8742.6512000000002</v>
      </c>
      <c r="D10" s="991">
        <f ca="1">tertiair!C16</f>
        <v>0</v>
      </c>
      <c r="E10" s="991">
        <f ca="1">tertiair!D16</f>
        <v>9465.2242214016333</v>
      </c>
      <c r="F10" s="991">
        <f>tertiair!E16</f>
        <v>188.20112732864911</v>
      </c>
      <c r="G10" s="991">
        <f ca="1">tertiair!F16</f>
        <v>1401.8131141848082</v>
      </c>
      <c r="H10" s="991">
        <f>tertiair!G16</f>
        <v>0</v>
      </c>
      <c r="I10" s="991">
        <f>tertiair!H16</f>
        <v>0</v>
      </c>
      <c r="J10" s="991">
        <f>tertiair!I16</f>
        <v>0</v>
      </c>
      <c r="K10" s="991">
        <f>tertiair!J16</f>
        <v>0</v>
      </c>
      <c r="L10" s="991">
        <f>tertiair!K16</f>
        <v>0</v>
      </c>
      <c r="M10" s="991">
        <f ca="1">tertiair!L16</f>
        <v>0</v>
      </c>
      <c r="N10" s="991">
        <f>tertiair!M16</f>
        <v>0</v>
      </c>
      <c r="O10" s="991">
        <f ca="1">tertiair!N16</f>
        <v>375.56184397077863</v>
      </c>
      <c r="P10" s="991">
        <f>tertiair!O16</f>
        <v>0</v>
      </c>
      <c r="Q10" s="992">
        <f>tertiair!P16</f>
        <v>0</v>
      </c>
      <c r="R10" s="675">
        <f ca="1">SUM(C10:Q10)</f>
        <v>20173.451506885871</v>
      </c>
      <c r="S10" s="67"/>
    </row>
    <row r="11" spans="1:19" s="448" customFormat="1">
      <c r="A11" s="784" t="s">
        <v>224</v>
      </c>
      <c r="B11" s="789"/>
      <c r="C11" s="991">
        <f>huishoudens!B8</f>
        <v>17045.230109347522</v>
      </c>
      <c r="D11" s="991">
        <f>huishoudens!C8</f>
        <v>0</v>
      </c>
      <c r="E11" s="991">
        <f>huishoudens!D8</f>
        <v>16872.311426991655</v>
      </c>
      <c r="F11" s="991">
        <f>huishoudens!E8</f>
        <v>6734.2485584889137</v>
      </c>
      <c r="G11" s="991">
        <f>huishoudens!F8</f>
        <v>7764.083887413738</v>
      </c>
      <c r="H11" s="991">
        <f>huishoudens!G8</f>
        <v>0</v>
      </c>
      <c r="I11" s="991">
        <f>huishoudens!H8</f>
        <v>0</v>
      </c>
      <c r="J11" s="991">
        <f>huishoudens!I8</f>
        <v>0</v>
      </c>
      <c r="K11" s="991">
        <f>huishoudens!J8</f>
        <v>741.58500458020239</v>
      </c>
      <c r="L11" s="991">
        <f>huishoudens!K8</f>
        <v>0</v>
      </c>
      <c r="M11" s="991">
        <f>huishoudens!L8</f>
        <v>0</v>
      </c>
      <c r="N11" s="991">
        <f>huishoudens!M8</f>
        <v>0</v>
      </c>
      <c r="O11" s="991">
        <f>huishoudens!N8</f>
        <v>4672.9691552091954</v>
      </c>
      <c r="P11" s="991">
        <f>huishoudens!O8</f>
        <v>117.25</v>
      </c>
      <c r="Q11" s="992">
        <f>huishoudens!P8</f>
        <v>266.93333333333334</v>
      </c>
      <c r="R11" s="675">
        <f>SUM(C11:Q11)</f>
        <v>54214.611475364567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615.87120000000004</v>
      </c>
      <c r="D13" s="991">
        <f>industrie!C18</f>
        <v>0</v>
      </c>
      <c r="E13" s="991">
        <f>industrie!D18</f>
        <v>418.14829949031599</v>
      </c>
      <c r="F13" s="991">
        <f>industrie!E18</f>
        <v>102.42955567369491</v>
      </c>
      <c r="G13" s="991">
        <f>industrie!F18</f>
        <v>323.27682965319309</v>
      </c>
      <c r="H13" s="991">
        <f>industrie!G18</f>
        <v>0</v>
      </c>
      <c r="I13" s="991">
        <f>industrie!H18</f>
        <v>0</v>
      </c>
      <c r="J13" s="991">
        <f>industrie!I18</f>
        <v>0</v>
      </c>
      <c r="K13" s="991">
        <f>industrie!J18</f>
        <v>1.0923075401453362</v>
      </c>
      <c r="L13" s="991">
        <f>industrie!K18</f>
        <v>0</v>
      </c>
      <c r="M13" s="991">
        <f>industrie!L18</f>
        <v>0</v>
      </c>
      <c r="N13" s="991">
        <f>industrie!M18</f>
        <v>0</v>
      </c>
      <c r="O13" s="991">
        <f>industrie!N18</f>
        <v>40.923689114043377</v>
      </c>
      <c r="P13" s="991">
        <f>industrie!O18</f>
        <v>0</v>
      </c>
      <c r="Q13" s="992">
        <f>industrie!P18</f>
        <v>0</v>
      </c>
      <c r="R13" s="675">
        <f>SUM(C13:Q13)</f>
        <v>1501.7418814713928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26403.752509347523</v>
      </c>
      <c r="D16" s="707">
        <f t="shared" ref="D16:R16" ca="1" si="0">SUM(D9:D15)</f>
        <v>0</v>
      </c>
      <c r="E16" s="707">
        <f t="shared" ca="1" si="0"/>
        <v>26755.683947883605</v>
      </c>
      <c r="F16" s="707">
        <f t="shared" si="0"/>
        <v>7024.8792414912577</v>
      </c>
      <c r="G16" s="707">
        <f t="shared" ca="1" si="0"/>
        <v>9489.1738312517409</v>
      </c>
      <c r="H16" s="707">
        <f t="shared" si="0"/>
        <v>0</v>
      </c>
      <c r="I16" s="707">
        <f t="shared" si="0"/>
        <v>0</v>
      </c>
      <c r="J16" s="707">
        <f t="shared" si="0"/>
        <v>0</v>
      </c>
      <c r="K16" s="707">
        <f t="shared" si="0"/>
        <v>742.67731212034778</v>
      </c>
      <c r="L16" s="707">
        <f t="shared" si="0"/>
        <v>0</v>
      </c>
      <c r="M16" s="707">
        <f t="shared" ca="1" si="0"/>
        <v>0</v>
      </c>
      <c r="N16" s="707">
        <f t="shared" si="0"/>
        <v>0</v>
      </c>
      <c r="O16" s="707">
        <f t="shared" ca="1" si="0"/>
        <v>5089.4546882940176</v>
      </c>
      <c r="P16" s="707">
        <f t="shared" si="0"/>
        <v>117.25</v>
      </c>
      <c r="Q16" s="707">
        <f t="shared" si="0"/>
        <v>266.93333333333334</v>
      </c>
      <c r="R16" s="707">
        <f t="shared" ca="1" si="0"/>
        <v>75889.804863721831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753.84177478160882</v>
      </c>
      <c r="I19" s="991">
        <f>transport!H54</f>
        <v>0</v>
      </c>
      <c r="J19" s="991">
        <f>transport!I54</f>
        <v>0</v>
      </c>
      <c r="K19" s="991">
        <f>transport!J54</f>
        <v>0</v>
      </c>
      <c r="L19" s="991">
        <f>transport!K54</f>
        <v>0</v>
      </c>
      <c r="M19" s="991">
        <f>transport!L54</f>
        <v>0</v>
      </c>
      <c r="N19" s="991">
        <f>transport!M54</f>
        <v>43.087301372359555</v>
      </c>
      <c r="O19" s="991">
        <f>transport!N54</f>
        <v>0</v>
      </c>
      <c r="P19" s="991">
        <f>transport!O54</f>
        <v>0</v>
      </c>
      <c r="Q19" s="992">
        <f>transport!P54</f>
        <v>0</v>
      </c>
      <c r="R19" s="675">
        <f>SUM(C19:Q19)</f>
        <v>796.92907615396837</v>
      </c>
      <c r="S19" s="67"/>
    </row>
    <row r="20" spans="1:19" s="448" customFormat="1">
      <c r="A20" s="784" t="s">
        <v>306</v>
      </c>
      <c r="B20" s="789"/>
      <c r="C20" s="991">
        <f>transport!B14</f>
        <v>10.12495133177868</v>
      </c>
      <c r="D20" s="991">
        <f>transport!C14</f>
        <v>0</v>
      </c>
      <c r="E20" s="991">
        <f>transport!D14</f>
        <v>19.758237972741551</v>
      </c>
      <c r="F20" s="991">
        <f>transport!E14</f>
        <v>216.49046956567463</v>
      </c>
      <c r="G20" s="991">
        <f>transport!F14</f>
        <v>0</v>
      </c>
      <c r="H20" s="991">
        <f>transport!G14</f>
        <v>89377.665478160954</v>
      </c>
      <c r="I20" s="991">
        <f>transport!H14</f>
        <v>12326.404793055448</v>
      </c>
      <c r="J20" s="991">
        <f>transport!I14</f>
        <v>0</v>
      </c>
      <c r="K20" s="991">
        <f>transport!J14</f>
        <v>0</v>
      </c>
      <c r="L20" s="991">
        <f>transport!K14</f>
        <v>0</v>
      </c>
      <c r="M20" s="991">
        <f>transport!L14</f>
        <v>0</v>
      </c>
      <c r="N20" s="991">
        <f>transport!M14</f>
        <v>5557.8530248335574</v>
      </c>
      <c r="O20" s="991">
        <f>transport!N14</f>
        <v>0</v>
      </c>
      <c r="P20" s="991">
        <f>transport!O14</f>
        <v>0</v>
      </c>
      <c r="Q20" s="992">
        <f>transport!P14</f>
        <v>0</v>
      </c>
      <c r="R20" s="675">
        <f>SUM(C20:Q20)</f>
        <v>107508.29695492017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10.12495133177868</v>
      </c>
      <c r="D22" s="787">
        <f t="shared" ref="D22:R22" si="1">SUM(D18:D21)</f>
        <v>0</v>
      </c>
      <c r="E22" s="787">
        <f t="shared" si="1"/>
        <v>19.758237972741551</v>
      </c>
      <c r="F22" s="787">
        <f t="shared" si="1"/>
        <v>216.49046956567463</v>
      </c>
      <c r="G22" s="787">
        <f t="shared" si="1"/>
        <v>0</v>
      </c>
      <c r="H22" s="787">
        <f t="shared" si="1"/>
        <v>90131.507252942567</v>
      </c>
      <c r="I22" s="787">
        <f t="shared" si="1"/>
        <v>12326.404793055448</v>
      </c>
      <c r="J22" s="787">
        <f t="shared" si="1"/>
        <v>0</v>
      </c>
      <c r="K22" s="787">
        <f t="shared" si="1"/>
        <v>0</v>
      </c>
      <c r="L22" s="787">
        <f t="shared" si="1"/>
        <v>0</v>
      </c>
      <c r="M22" s="787">
        <f t="shared" si="1"/>
        <v>0</v>
      </c>
      <c r="N22" s="787">
        <f t="shared" si="1"/>
        <v>5600.9403262059168</v>
      </c>
      <c r="O22" s="787">
        <f t="shared" si="1"/>
        <v>0</v>
      </c>
      <c r="P22" s="787">
        <f t="shared" si="1"/>
        <v>0</v>
      </c>
      <c r="Q22" s="787">
        <f t="shared" si="1"/>
        <v>0</v>
      </c>
      <c r="R22" s="787">
        <f t="shared" si="1"/>
        <v>108305.22603107414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716.63635999999997</v>
      </c>
      <c r="D24" s="991">
        <f>+landbouw!C8</f>
        <v>0</v>
      </c>
      <c r="E24" s="991">
        <f>+landbouw!D8</f>
        <v>494.50020815834841</v>
      </c>
      <c r="F24" s="991">
        <f>+landbouw!E8</f>
        <v>6.637786121218384</v>
      </c>
      <c r="G24" s="991">
        <f>+landbouw!F8</f>
        <v>1818.2429644064819</v>
      </c>
      <c r="H24" s="991">
        <f>+landbouw!G8</f>
        <v>0</v>
      </c>
      <c r="I24" s="991">
        <f>+landbouw!H8</f>
        <v>0</v>
      </c>
      <c r="J24" s="991">
        <f>+landbouw!I8</f>
        <v>0</v>
      </c>
      <c r="K24" s="991">
        <f>+landbouw!J8</f>
        <v>109.86835167311962</v>
      </c>
      <c r="L24" s="991">
        <f>+landbouw!K8</f>
        <v>0</v>
      </c>
      <c r="M24" s="991">
        <f>+landbouw!L8</f>
        <v>0</v>
      </c>
      <c r="N24" s="991">
        <f>+landbouw!M8</f>
        <v>0</v>
      </c>
      <c r="O24" s="991">
        <f>+landbouw!N8</f>
        <v>0</v>
      </c>
      <c r="P24" s="991">
        <f>+landbouw!O8</f>
        <v>0</v>
      </c>
      <c r="Q24" s="992">
        <f>+landbouw!P8</f>
        <v>0</v>
      </c>
      <c r="R24" s="675">
        <f>SUM(C24:Q24)</f>
        <v>3145.8856703591682</v>
      </c>
      <c r="S24" s="67"/>
    </row>
    <row r="25" spans="1:19" s="448" customFormat="1" ht="15" thickBot="1">
      <c r="A25" s="806" t="s">
        <v>849</v>
      </c>
      <c r="B25" s="994"/>
      <c r="C25" s="995">
        <f>IF(Onbekend_ele_kWh="---",0,Onbekend_ele_kWh)/1000+IF(REST_rest_ele_kWh="---",0,REST_rest_ele_kWh)/1000</f>
        <v>502.56470000000002</v>
      </c>
      <c r="D25" s="995"/>
      <c r="E25" s="995">
        <f>IF(onbekend_gas_kWh="---",0,onbekend_gas_kWh)/1000+IF(REST_rest_gas_kWh="---",0,REST_rest_gas_kWh)/1000</f>
        <v>453.70687793849197</v>
      </c>
      <c r="F25" s="995"/>
      <c r="G25" s="995"/>
      <c r="H25" s="995"/>
      <c r="I25" s="995"/>
      <c r="J25" s="995"/>
      <c r="K25" s="995"/>
      <c r="L25" s="995"/>
      <c r="M25" s="995"/>
      <c r="N25" s="995"/>
      <c r="O25" s="995"/>
      <c r="P25" s="995"/>
      <c r="Q25" s="996"/>
      <c r="R25" s="675">
        <f>SUM(C25:Q25)</f>
        <v>956.27157793849199</v>
      </c>
      <c r="S25" s="67"/>
    </row>
    <row r="26" spans="1:19" s="448" customFormat="1" ht="15.75" thickBot="1">
      <c r="A26" s="680" t="s">
        <v>850</v>
      </c>
      <c r="B26" s="792"/>
      <c r="C26" s="787">
        <f>SUM(C24:C25)</f>
        <v>1219.2010599999999</v>
      </c>
      <c r="D26" s="787">
        <f t="shared" ref="D26:R26" si="2">SUM(D24:D25)</f>
        <v>0</v>
      </c>
      <c r="E26" s="787">
        <f t="shared" si="2"/>
        <v>948.20708609684038</v>
      </c>
      <c r="F26" s="787">
        <f t="shared" si="2"/>
        <v>6.637786121218384</v>
      </c>
      <c r="G26" s="787">
        <f t="shared" si="2"/>
        <v>1818.2429644064819</v>
      </c>
      <c r="H26" s="787">
        <f t="shared" si="2"/>
        <v>0</v>
      </c>
      <c r="I26" s="787">
        <f t="shared" si="2"/>
        <v>0</v>
      </c>
      <c r="J26" s="787">
        <f t="shared" si="2"/>
        <v>0</v>
      </c>
      <c r="K26" s="787">
        <f t="shared" si="2"/>
        <v>109.86835167311962</v>
      </c>
      <c r="L26" s="787">
        <f t="shared" si="2"/>
        <v>0</v>
      </c>
      <c r="M26" s="787">
        <f t="shared" si="2"/>
        <v>0</v>
      </c>
      <c r="N26" s="787">
        <f t="shared" si="2"/>
        <v>0</v>
      </c>
      <c r="O26" s="787">
        <f t="shared" si="2"/>
        <v>0</v>
      </c>
      <c r="P26" s="787">
        <f t="shared" si="2"/>
        <v>0</v>
      </c>
      <c r="Q26" s="787">
        <f t="shared" si="2"/>
        <v>0</v>
      </c>
      <c r="R26" s="787">
        <f t="shared" si="2"/>
        <v>4102.1572482976599</v>
      </c>
      <c r="S26" s="67"/>
    </row>
    <row r="27" spans="1:19" s="448" customFormat="1" ht="17.25" thickTop="1" thickBot="1">
      <c r="A27" s="681" t="s">
        <v>115</v>
      </c>
      <c r="B27" s="780"/>
      <c r="C27" s="682">
        <f ca="1">C22+C16+C26</f>
        <v>27633.078520679301</v>
      </c>
      <c r="D27" s="682">
        <f t="shared" ref="D27:R27" ca="1" si="3">D22+D16+D26</f>
        <v>0</v>
      </c>
      <c r="E27" s="682">
        <f t="shared" ca="1" si="3"/>
        <v>27723.649271953189</v>
      </c>
      <c r="F27" s="682">
        <f t="shared" si="3"/>
        <v>7248.0074971781505</v>
      </c>
      <c r="G27" s="682">
        <f t="shared" ca="1" si="3"/>
        <v>11307.416795658222</v>
      </c>
      <c r="H27" s="682">
        <f t="shared" si="3"/>
        <v>90131.507252942567</v>
      </c>
      <c r="I27" s="682">
        <f t="shared" si="3"/>
        <v>12326.404793055448</v>
      </c>
      <c r="J27" s="682">
        <f t="shared" si="3"/>
        <v>0</v>
      </c>
      <c r="K27" s="682">
        <f t="shared" si="3"/>
        <v>852.54566379346738</v>
      </c>
      <c r="L27" s="682">
        <f t="shared" si="3"/>
        <v>0</v>
      </c>
      <c r="M27" s="682">
        <f t="shared" ca="1" si="3"/>
        <v>0</v>
      </c>
      <c r="N27" s="682">
        <f t="shared" si="3"/>
        <v>5600.9403262059168</v>
      </c>
      <c r="O27" s="682">
        <f t="shared" ca="1" si="3"/>
        <v>5089.4546882940176</v>
      </c>
      <c r="P27" s="682">
        <f t="shared" si="3"/>
        <v>117.25</v>
      </c>
      <c r="Q27" s="682">
        <f t="shared" si="3"/>
        <v>266.93333333333334</v>
      </c>
      <c r="R27" s="682">
        <f t="shared" ca="1" si="3"/>
        <v>188297.1881430936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1196.1843179890789</v>
      </c>
      <c r="D40" s="991">
        <f ca="1">tertiair!C20</f>
        <v>0</v>
      </c>
      <c r="E40" s="991">
        <f ca="1">tertiair!D20</f>
        <v>1911.97529272313</v>
      </c>
      <c r="F40" s="991">
        <f>tertiair!E20</f>
        <v>42.721655903603349</v>
      </c>
      <c r="G40" s="991">
        <f ca="1">tertiair!F20</f>
        <v>374.28410148734383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3525.1653681031557</v>
      </c>
    </row>
    <row r="41" spans="1:18">
      <c r="A41" s="797" t="s">
        <v>224</v>
      </c>
      <c r="B41" s="804"/>
      <c r="C41" s="991">
        <f ca="1">huishoudens!B12</f>
        <v>2332.1572011607618</v>
      </c>
      <c r="D41" s="991">
        <f ca="1">huishoudens!C12</f>
        <v>0</v>
      </c>
      <c r="E41" s="991">
        <f>huishoudens!D12</f>
        <v>3408.2069082523144</v>
      </c>
      <c r="F41" s="991">
        <f>huishoudens!E12</f>
        <v>1528.6744227769834</v>
      </c>
      <c r="G41" s="991">
        <f>huishoudens!F12</f>
        <v>2073.010397939468</v>
      </c>
      <c r="H41" s="991">
        <f>huishoudens!G12</f>
        <v>0</v>
      </c>
      <c r="I41" s="991">
        <f>huishoudens!H12</f>
        <v>0</v>
      </c>
      <c r="J41" s="991">
        <f>huishoudens!I12</f>
        <v>0</v>
      </c>
      <c r="K41" s="991">
        <f>huishoudens!J12</f>
        <v>262.52109162139163</v>
      </c>
      <c r="L41" s="991">
        <f>huishoudens!K12</f>
        <v>0</v>
      </c>
      <c r="M41" s="991">
        <f>huishoudens!L12</f>
        <v>0</v>
      </c>
      <c r="N41" s="991">
        <f>huishoudens!M12</f>
        <v>0</v>
      </c>
      <c r="O41" s="991">
        <f>huishoudens!N12</f>
        <v>0</v>
      </c>
      <c r="P41" s="991">
        <f>huishoudens!O12</f>
        <v>0</v>
      </c>
      <c r="Q41" s="749">
        <f>huishoudens!P12</f>
        <v>0</v>
      </c>
      <c r="R41" s="825">
        <f t="shared" ca="1" si="4"/>
        <v>9604.5700217509184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84.264538809590803</v>
      </c>
      <c r="D43" s="991">
        <f ca="1">industrie!C22</f>
        <v>0</v>
      </c>
      <c r="E43" s="991">
        <f>industrie!D22</f>
        <v>84.465956497043834</v>
      </c>
      <c r="F43" s="991">
        <f>industrie!E22</f>
        <v>23.251509137928746</v>
      </c>
      <c r="G43" s="991">
        <f>industrie!F22</f>
        <v>86.314913517402559</v>
      </c>
      <c r="H43" s="991">
        <f>industrie!G22</f>
        <v>0</v>
      </c>
      <c r="I43" s="991">
        <f>industrie!H22</f>
        <v>0</v>
      </c>
      <c r="J43" s="991">
        <f>industrie!I22</f>
        <v>0</v>
      </c>
      <c r="K43" s="991">
        <f>industrie!J22</f>
        <v>0.386676869211449</v>
      </c>
      <c r="L43" s="991">
        <f>industrie!K22</f>
        <v>0</v>
      </c>
      <c r="M43" s="991">
        <f>industrie!L22</f>
        <v>0</v>
      </c>
      <c r="N43" s="991">
        <f>industrie!M22</f>
        <v>0</v>
      </c>
      <c r="O43" s="991">
        <f>industrie!N22</f>
        <v>0</v>
      </c>
      <c r="P43" s="991">
        <f>industrie!O22</f>
        <v>0</v>
      </c>
      <c r="Q43" s="749">
        <f>industrie!P22</f>
        <v>0</v>
      </c>
      <c r="R43" s="824">
        <f t="shared" ca="1" si="4"/>
        <v>278.68359483117734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3612.6060579594314</v>
      </c>
      <c r="D46" s="707">
        <f t="shared" ref="D46:Q46" ca="1" si="5">SUM(D39:D45)</f>
        <v>0</v>
      </c>
      <c r="E46" s="707">
        <f t="shared" ca="1" si="5"/>
        <v>5404.6481574724876</v>
      </c>
      <c r="F46" s="707">
        <f t="shared" si="5"/>
        <v>1594.6475878185154</v>
      </c>
      <c r="G46" s="707">
        <f t="shared" ca="1" si="5"/>
        <v>2533.6094129442145</v>
      </c>
      <c r="H46" s="707">
        <f t="shared" si="5"/>
        <v>0</v>
      </c>
      <c r="I46" s="707">
        <f t="shared" si="5"/>
        <v>0</v>
      </c>
      <c r="J46" s="707">
        <f t="shared" si="5"/>
        <v>0</v>
      </c>
      <c r="K46" s="707">
        <f t="shared" si="5"/>
        <v>262.90776849060308</v>
      </c>
      <c r="L46" s="707">
        <f t="shared" si="5"/>
        <v>0</v>
      </c>
      <c r="M46" s="707">
        <f t="shared" ca="1" si="5"/>
        <v>0</v>
      </c>
      <c r="N46" s="707">
        <f t="shared" si="5"/>
        <v>0</v>
      </c>
      <c r="O46" s="707">
        <f t="shared" ca="1" si="5"/>
        <v>0</v>
      </c>
      <c r="P46" s="707">
        <f t="shared" si="5"/>
        <v>0</v>
      </c>
      <c r="Q46" s="707">
        <f t="shared" si="5"/>
        <v>0</v>
      </c>
      <c r="R46" s="707">
        <f ca="1">SUM(R39:R45)</f>
        <v>13408.418984685253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201.27575386668957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201.27575386668957</v>
      </c>
    </row>
    <row r="50" spans="1:18">
      <c r="A50" s="800" t="s">
        <v>306</v>
      </c>
      <c r="B50" s="810"/>
      <c r="C50" s="678">
        <f ca="1">transport!B18</f>
        <v>1.3853129590113691</v>
      </c>
      <c r="D50" s="678">
        <f>transport!C18</f>
        <v>0</v>
      </c>
      <c r="E50" s="678">
        <f>transport!D18</f>
        <v>3.9911640704937934</v>
      </c>
      <c r="F50" s="678">
        <f>transport!E18</f>
        <v>49.143336591408143</v>
      </c>
      <c r="G50" s="678">
        <f>transport!F18</f>
        <v>0</v>
      </c>
      <c r="H50" s="678">
        <f>transport!G18</f>
        <v>23863.836682668974</v>
      </c>
      <c r="I50" s="678">
        <f>transport!H18</f>
        <v>3069.2747934708063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26987.631289760695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1.3853129590113691</v>
      </c>
      <c r="D52" s="707">
        <f t="shared" ref="D52:Q52" ca="1" si="6">SUM(D48:D51)</f>
        <v>0</v>
      </c>
      <c r="E52" s="707">
        <f t="shared" si="6"/>
        <v>3.9911640704937934</v>
      </c>
      <c r="F52" s="707">
        <f t="shared" si="6"/>
        <v>49.143336591408143</v>
      </c>
      <c r="G52" s="707">
        <f t="shared" si="6"/>
        <v>0</v>
      </c>
      <c r="H52" s="707">
        <f t="shared" si="6"/>
        <v>24065.112436535663</v>
      </c>
      <c r="I52" s="707">
        <f t="shared" si="6"/>
        <v>3069.2747934708063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27188.907043627383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98.051398359890641</v>
      </c>
      <c r="D54" s="678">
        <f ca="1">+landbouw!C12</f>
        <v>0</v>
      </c>
      <c r="E54" s="678">
        <f>+landbouw!D12</f>
        <v>99.889042047986379</v>
      </c>
      <c r="F54" s="678">
        <f>+landbouw!E12</f>
        <v>1.5067774495165731</v>
      </c>
      <c r="G54" s="678">
        <f>+landbouw!F12</f>
        <v>485.47087149653066</v>
      </c>
      <c r="H54" s="678">
        <f>+landbouw!G12</f>
        <v>0</v>
      </c>
      <c r="I54" s="678">
        <f>+landbouw!H12</f>
        <v>0</v>
      </c>
      <c r="J54" s="678">
        <f>+landbouw!I12</f>
        <v>0</v>
      </c>
      <c r="K54" s="678">
        <f>+landbouw!J12</f>
        <v>38.893396492284346</v>
      </c>
      <c r="L54" s="678">
        <f>+landbouw!K12</f>
        <v>0</v>
      </c>
      <c r="M54" s="678">
        <f>+landbouw!L12</f>
        <v>0</v>
      </c>
      <c r="N54" s="678">
        <f>+landbouw!M12</f>
        <v>0</v>
      </c>
      <c r="O54" s="678">
        <f>+landbouw!N12</f>
        <v>0</v>
      </c>
      <c r="P54" s="678">
        <f>+landbouw!O12</f>
        <v>0</v>
      </c>
      <c r="Q54" s="679">
        <f>+landbouw!P12</f>
        <v>0</v>
      </c>
      <c r="R54" s="706">
        <f ca="1">SUM(C54:Q54)</f>
        <v>723.81148584620848</v>
      </c>
    </row>
    <row r="55" spans="1:18" ht="15" thickBot="1">
      <c r="A55" s="800" t="s">
        <v>849</v>
      </c>
      <c r="B55" s="810"/>
      <c r="C55" s="678">
        <f ca="1">C25*'EF ele_warmte'!B12</f>
        <v>68.761751917414486</v>
      </c>
      <c r="D55" s="678"/>
      <c r="E55" s="678">
        <f>E25*EF_CO2_aardgas</f>
        <v>91.648789343575388</v>
      </c>
      <c r="F55" s="678"/>
      <c r="G55" s="678"/>
      <c r="H55" s="678"/>
      <c r="I55" s="678"/>
      <c r="J55" s="678"/>
      <c r="K55" s="678"/>
      <c r="L55" s="678"/>
      <c r="M55" s="678"/>
      <c r="N55" s="678"/>
      <c r="O55" s="678"/>
      <c r="P55" s="678"/>
      <c r="Q55" s="679"/>
      <c r="R55" s="706">
        <f ca="1">SUM(C55:Q55)</f>
        <v>160.41054126098987</v>
      </c>
    </row>
    <row r="56" spans="1:18" ht="15.75" thickBot="1">
      <c r="A56" s="798" t="s">
        <v>850</v>
      </c>
      <c r="B56" s="811"/>
      <c r="C56" s="707">
        <f ca="1">SUM(C54:C55)</f>
        <v>166.81315027730511</v>
      </c>
      <c r="D56" s="707">
        <f t="shared" ref="D56:Q56" ca="1" si="7">SUM(D54:D55)</f>
        <v>0</v>
      </c>
      <c r="E56" s="707">
        <f t="shared" si="7"/>
        <v>191.53783139156178</v>
      </c>
      <c r="F56" s="707">
        <f t="shared" si="7"/>
        <v>1.5067774495165731</v>
      </c>
      <c r="G56" s="707">
        <f t="shared" si="7"/>
        <v>485.47087149653066</v>
      </c>
      <c r="H56" s="707">
        <f t="shared" si="7"/>
        <v>0</v>
      </c>
      <c r="I56" s="707">
        <f t="shared" si="7"/>
        <v>0</v>
      </c>
      <c r="J56" s="707">
        <f t="shared" si="7"/>
        <v>0</v>
      </c>
      <c r="K56" s="707">
        <f t="shared" si="7"/>
        <v>38.893396492284346</v>
      </c>
      <c r="L56" s="707">
        <f t="shared" si="7"/>
        <v>0</v>
      </c>
      <c r="M56" s="707">
        <f t="shared" si="7"/>
        <v>0</v>
      </c>
      <c r="N56" s="707">
        <f t="shared" si="7"/>
        <v>0</v>
      </c>
      <c r="O56" s="707">
        <f t="shared" si="7"/>
        <v>0</v>
      </c>
      <c r="P56" s="707">
        <f t="shared" si="7"/>
        <v>0</v>
      </c>
      <c r="Q56" s="708">
        <f t="shared" si="7"/>
        <v>0</v>
      </c>
      <c r="R56" s="709">
        <f ca="1">SUM(R54:R55)</f>
        <v>884.2220271071983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3780.8045211957478</v>
      </c>
      <c r="D61" s="715">
        <f t="shared" ref="D61:Q61" ca="1" si="8">D46+D52+D56</f>
        <v>0</v>
      </c>
      <c r="E61" s="715">
        <f t="shared" ca="1" si="8"/>
        <v>5600.1771529345433</v>
      </c>
      <c r="F61" s="715">
        <f t="shared" si="8"/>
        <v>1645.2977018594402</v>
      </c>
      <c r="G61" s="715">
        <f t="shared" ca="1" si="8"/>
        <v>3019.0802844407453</v>
      </c>
      <c r="H61" s="715">
        <f t="shared" si="8"/>
        <v>24065.112436535663</v>
      </c>
      <c r="I61" s="715">
        <f t="shared" si="8"/>
        <v>3069.2747934708063</v>
      </c>
      <c r="J61" s="715">
        <f t="shared" si="8"/>
        <v>0</v>
      </c>
      <c r="K61" s="715">
        <f t="shared" si="8"/>
        <v>301.80116498288743</v>
      </c>
      <c r="L61" s="715">
        <f t="shared" si="8"/>
        <v>0</v>
      </c>
      <c r="M61" s="715">
        <f t="shared" ca="1" si="8"/>
        <v>0</v>
      </c>
      <c r="N61" s="715">
        <f t="shared" si="8"/>
        <v>0</v>
      </c>
      <c r="O61" s="715">
        <f t="shared" ca="1" si="8"/>
        <v>0</v>
      </c>
      <c r="P61" s="715">
        <f t="shared" si="8"/>
        <v>0</v>
      </c>
      <c r="Q61" s="715">
        <f t="shared" si="8"/>
        <v>0</v>
      </c>
      <c r="R61" s="715">
        <f ca="1">R46+R52+R56</f>
        <v>41481.548055419837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0.13682169065478431</v>
      </c>
      <c r="D63" s="756">
        <f t="shared" ca="1" si="9"/>
        <v>0</v>
      </c>
      <c r="E63" s="1002">
        <f t="shared" ca="1" si="9"/>
        <v>0.20199999999999996</v>
      </c>
      <c r="F63" s="756">
        <f t="shared" si="9"/>
        <v>0.22700000000000001</v>
      </c>
      <c r="G63" s="756">
        <f t="shared" ca="1" si="9"/>
        <v>0.26700000000000002</v>
      </c>
      <c r="H63" s="756">
        <f t="shared" si="9"/>
        <v>0.26699999999999996</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8759.7031398412892</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1765.6626152463907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10525.36575508768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17045.230109347522</v>
      </c>
      <c r="C4" s="452">
        <f>huishoudens!C8</f>
        <v>0</v>
      </c>
      <c r="D4" s="452">
        <f>huishoudens!D8</f>
        <v>16872.311426991655</v>
      </c>
      <c r="E4" s="452">
        <f>huishoudens!E8</f>
        <v>6734.2485584889137</v>
      </c>
      <c r="F4" s="452">
        <f>huishoudens!F8</f>
        <v>7764.083887413738</v>
      </c>
      <c r="G4" s="452">
        <f>huishoudens!G8</f>
        <v>0</v>
      </c>
      <c r="H4" s="452">
        <f>huishoudens!H8</f>
        <v>0</v>
      </c>
      <c r="I4" s="452">
        <f>huishoudens!I8</f>
        <v>0</v>
      </c>
      <c r="J4" s="452">
        <f>huishoudens!J8</f>
        <v>741.58500458020239</v>
      </c>
      <c r="K4" s="452">
        <f>huishoudens!K8</f>
        <v>0</v>
      </c>
      <c r="L4" s="452">
        <f>huishoudens!L8</f>
        <v>0</v>
      </c>
      <c r="M4" s="452">
        <f>huishoudens!M8</f>
        <v>0</v>
      </c>
      <c r="N4" s="452">
        <f>huishoudens!N8</f>
        <v>4672.9691552091954</v>
      </c>
      <c r="O4" s="452">
        <f>huishoudens!O8</f>
        <v>117.25</v>
      </c>
      <c r="P4" s="453">
        <f>huishoudens!P8</f>
        <v>266.93333333333334</v>
      </c>
      <c r="Q4" s="454">
        <f>SUM(B4:P4)</f>
        <v>54214.611475364567</v>
      </c>
    </row>
    <row r="5" spans="1:17">
      <c r="A5" s="451" t="s">
        <v>155</v>
      </c>
      <c r="B5" s="452">
        <f ca="1">tertiair!B16</f>
        <v>8134.2352000000001</v>
      </c>
      <c r="C5" s="452">
        <f ca="1">tertiair!C16</f>
        <v>0</v>
      </c>
      <c r="D5" s="452">
        <f ca="1">tertiair!D16</f>
        <v>9465.2242214016333</v>
      </c>
      <c r="E5" s="452">
        <f>tertiair!E16</f>
        <v>188.20112732864911</v>
      </c>
      <c r="F5" s="452">
        <f ca="1">tertiair!F16</f>
        <v>1401.8131141848082</v>
      </c>
      <c r="G5" s="452">
        <f>tertiair!G16</f>
        <v>0</v>
      </c>
      <c r="H5" s="452">
        <f>tertiair!H16</f>
        <v>0</v>
      </c>
      <c r="I5" s="452">
        <f>tertiair!I16</f>
        <v>0</v>
      </c>
      <c r="J5" s="452">
        <f>tertiair!J16</f>
        <v>0</v>
      </c>
      <c r="K5" s="452">
        <f>tertiair!K16</f>
        <v>0</v>
      </c>
      <c r="L5" s="452">
        <f ca="1">tertiair!L16</f>
        <v>0</v>
      </c>
      <c r="M5" s="452">
        <f>tertiair!M16</f>
        <v>0</v>
      </c>
      <c r="N5" s="452">
        <f ca="1">tertiair!N16</f>
        <v>375.56184397077863</v>
      </c>
      <c r="O5" s="452">
        <f>tertiair!O16</f>
        <v>0</v>
      </c>
      <c r="P5" s="453">
        <f>tertiair!P16</f>
        <v>0</v>
      </c>
      <c r="Q5" s="451">
        <f t="shared" ref="Q5:Q14" ca="1" si="0">SUM(B5:P5)</f>
        <v>19565.03550688587</v>
      </c>
    </row>
    <row r="6" spans="1:17">
      <c r="A6" s="451" t="s">
        <v>193</v>
      </c>
      <c r="B6" s="452">
        <f>'openbare verlichting'!B8</f>
        <v>608.41600000000005</v>
      </c>
      <c r="C6" s="452"/>
      <c r="D6" s="452"/>
      <c r="E6" s="452"/>
      <c r="F6" s="452"/>
      <c r="G6" s="452"/>
      <c r="H6" s="452"/>
      <c r="I6" s="452"/>
      <c r="J6" s="452"/>
      <c r="K6" s="452"/>
      <c r="L6" s="452"/>
      <c r="M6" s="452"/>
      <c r="N6" s="452"/>
      <c r="O6" s="452"/>
      <c r="P6" s="453"/>
      <c r="Q6" s="451">
        <f t="shared" si="0"/>
        <v>608.41600000000005</v>
      </c>
    </row>
    <row r="7" spans="1:17">
      <c r="A7" s="451" t="s">
        <v>111</v>
      </c>
      <c r="B7" s="452">
        <f>landbouw!B8</f>
        <v>716.63635999999997</v>
      </c>
      <c r="C7" s="452">
        <f>landbouw!C8</f>
        <v>0</v>
      </c>
      <c r="D7" s="452">
        <f>landbouw!D8</f>
        <v>494.50020815834841</v>
      </c>
      <c r="E7" s="452">
        <f>landbouw!E8</f>
        <v>6.637786121218384</v>
      </c>
      <c r="F7" s="452">
        <f>landbouw!F8</f>
        <v>1818.2429644064819</v>
      </c>
      <c r="G7" s="452">
        <f>landbouw!G8</f>
        <v>0</v>
      </c>
      <c r="H7" s="452">
        <f>landbouw!H8</f>
        <v>0</v>
      </c>
      <c r="I7" s="452">
        <f>landbouw!I8</f>
        <v>0</v>
      </c>
      <c r="J7" s="452">
        <f>landbouw!J8</f>
        <v>109.86835167311962</v>
      </c>
      <c r="K7" s="452">
        <f>landbouw!K8</f>
        <v>0</v>
      </c>
      <c r="L7" s="452">
        <f>landbouw!L8</f>
        <v>0</v>
      </c>
      <c r="M7" s="452">
        <f>landbouw!M8</f>
        <v>0</v>
      </c>
      <c r="N7" s="452">
        <f>landbouw!N8</f>
        <v>0</v>
      </c>
      <c r="O7" s="452">
        <f>landbouw!O8</f>
        <v>0</v>
      </c>
      <c r="P7" s="453">
        <f>landbouw!P8</f>
        <v>0</v>
      </c>
      <c r="Q7" s="451">
        <f t="shared" si="0"/>
        <v>3145.8856703591682</v>
      </c>
    </row>
    <row r="8" spans="1:17">
      <c r="A8" s="451" t="s">
        <v>649</v>
      </c>
      <c r="B8" s="452">
        <f>industrie!B18</f>
        <v>615.87120000000004</v>
      </c>
      <c r="C8" s="452">
        <f>industrie!C18</f>
        <v>0</v>
      </c>
      <c r="D8" s="452">
        <f>industrie!D18</f>
        <v>418.14829949031599</v>
      </c>
      <c r="E8" s="452">
        <f>industrie!E18</f>
        <v>102.42955567369491</v>
      </c>
      <c r="F8" s="452">
        <f>industrie!F18</f>
        <v>323.27682965319309</v>
      </c>
      <c r="G8" s="452">
        <f>industrie!G18</f>
        <v>0</v>
      </c>
      <c r="H8" s="452">
        <f>industrie!H18</f>
        <v>0</v>
      </c>
      <c r="I8" s="452">
        <f>industrie!I18</f>
        <v>0</v>
      </c>
      <c r="J8" s="452">
        <f>industrie!J18</f>
        <v>1.0923075401453362</v>
      </c>
      <c r="K8" s="452">
        <f>industrie!K18</f>
        <v>0</v>
      </c>
      <c r="L8" s="452">
        <f>industrie!L18</f>
        <v>0</v>
      </c>
      <c r="M8" s="452">
        <f>industrie!M18</f>
        <v>0</v>
      </c>
      <c r="N8" s="452">
        <f>industrie!N18</f>
        <v>40.923689114043377</v>
      </c>
      <c r="O8" s="452">
        <f>industrie!O18</f>
        <v>0</v>
      </c>
      <c r="P8" s="453">
        <f>industrie!P18</f>
        <v>0</v>
      </c>
      <c r="Q8" s="451">
        <f t="shared" si="0"/>
        <v>1501.7418814713928</v>
      </c>
    </row>
    <row r="9" spans="1:17" s="457" customFormat="1">
      <c r="A9" s="455" t="s">
        <v>570</v>
      </c>
      <c r="B9" s="456">
        <f>transport!B14</f>
        <v>10.12495133177868</v>
      </c>
      <c r="C9" s="456">
        <f>transport!C14</f>
        <v>0</v>
      </c>
      <c r="D9" s="456">
        <f>transport!D14</f>
        <v>19.758237972741551</v>
      </c>
      <c r="E9" s="456">
        <f>transport!E14</f>
        <v>216.49046956567463</v>
      </c>
      <c r="F9" s="456">
        <f>transport!F14</f>
        <v>0</v>
      </c>
      <c r="G9" s="456">
        <f>transport!G14</f>
        <v>89377.665478160954</v>
      </c>
      <c r="H9" s="456">
        <f>transport!H14</f>
        <v>12326.404793055448</v>
      </c>
      <c r="I9" s="456">
        <f>transport!I14</f>
        <v>0</v>
      </c>
      <c r="J9" s="456">
        <f>transport!J14</f>
        <v>0</v>
      </c>
      <c r="K9" s="456">
        <f>transport!K14</f>
        <v>0</v>
      </c>
      <c r="L9" s="456">
        <f>transport!L14</f>
        <v>0</v>
      </c>
      <c r="M9" s="456">
        <f>transport!M14</f>
        <v>5557.8530248335574</v>
      </c>
      <c r="N9" s="456">
        <f>transport!N14</f>
        <v>0</v>
      </c>
      <c r="O9" s="456">
        <f>transport!O14</f>
        <v>0</v>
      </c>
      <c r="P9" s="456">
        <f>transport!P14</f>
        <v>0</v>
      </c>
      <c r="Q9" s="455">
        <f>SUM(B9:P9)</f>
        <v>107508.29695492017</v>
      </c>
    </row>
    <row r="10" spans="1:17">
      <c r="A10" s="451" t="s">
        <v>560</v>
      </c>
      <c r="B10" s="452">
        <f>transport!B54</f>
        <v>0</v>
      </c>
      <c r="C10" s="452">
        <f>transport!C54</f>
        <v>0</v>
      </c>
      <c r="D10" s="452">
        <f>transport!D54</f>
        <v>0</v>
      </c>
      <c r="E10" s="452">
        <f>transport!E54</f>
        <v>0</v>
      </c>
      <c r="F10" s="452">
        <f>transport!F54</f>
        <v>0</v>
      </c>
      <c r="G10" s="452">
        <f>transport!G54</f>
        <v>753.84177478160882</v>
      </c>
      <c r="H10" s="452">
        <f>transport!H54</f>
        <v>0</v>
      </c>
      <c r="I10" s="452">
        <f>transport!I54</f>
        <v>0</v>
      </c>
      <c r="J10" s="452">
        <f>transport!J54</f>
        <v>0</v>
      </c>
      <c r="K10" s="452">
        <f>transport!K54</f>
        <v>0</v>
      </c>
      <c r="L10" s="452">
        <f>transport!L54</f>
        <v>0</v>
      </c>
      <c r="M10" s="452">
        <f>transport!M54</f>
        <v>43.087301372359555</v>
      </c>
      <c r="N10" s="452">
        <f>transport!N54</f>
        <v>0</v>
      </c>
      <c r="O10" s="452">
        <f>transport!O54</f>
        <v>0</v>
      </c>
      <c r="P10" s="453">
        <f>transport!P54</f>
        <v>0</v>
      </c>
      <c r="Q10" s="451">
        <f t="shared" si="0"/>
        <v>796.92907615396837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502.56470000000002</v>
      </c>
      <c r="C14" s="459"/>
      <c r="D14" s="459">
        <f>'SEAP template'!E25</f>
        <v>453.70687793849197</v>
      </c>
      <c r="E14" s="459"/>
      <c r="F14" s="459"/>
      <c r="G14" s="459"/>
      <c r="H14" s="459"/>
      <c r="I14" s="459"/>
      <c r="J14" s="459"/>
      <c r="K14" s="459"/>
      <c r="L14" s="459"/>
      <c r="M14" s="459"/>
      <c r="N14" s="459"/>
      <c r="O14" s="459"/>
      <c r="P14" s="460"/>
      <c r="Q14" s="451">
        <f t="shared" si="0"/>
        <v>956.27157793849199</v>
      </c>
    </row>
    <row r="15" spans="1:17" s="461" customFormat="1">
      <c r="A15" s="1017" t="s">
        <v>564</v>
      </c>
      <c r="B15" s="957">
        <f ca="1">SUM(B4:B14)</f>
        <v>27633.078520679301</v>
      </c>
      <c r="C15" s="957">
        <f t="shared" ref="C15:Q15" ca="1" si="1">SUM(C4:C14)</f>
        <v>0</v>
      </c>
      <c r="D15" s="957">
        <f t="shared" ca="1" si="1"/>
        <v>27723.649271953189</v>
      </c>
      <c r="E15" s="957">
        <f t="shared" si="1"/>
        <v>7248.0074971781505</v>
      </c>
      <c r="F15" s="957">
        <f t="shared" ca="1" si="1"/>
        <v>11307.416795658221</v>
      </c>
      <c r="G15" s="957">
        <f t="shared" si="1"/>
        <v>90131.507252942567</v>
      </c>
      <c r="H15" s="957">
        <f t="shared" si="1"/>
        <v>12326.404793055448</v>
      </c>
      <c r="I15" s="957">
        <f t="shared" si="1"/>
        <v>0</v>
      </c>
      <c r="J15" s="957">
        <f t="shared" si="1"/>
        <v>852.54566379346738</v>
      </c>
      <c r="K15" s="957">
        <f t="shared" si="1"/>
        <v>0</v>
      </c>
      <c r="L15" s="957">
        <f t="shared" ca="1" si="1"/>
        <v>0</v>
      </c>
      <c r="M15" s="957">
        <f t="shared" si="1"/>
        <v>5600.9403262059168</v>
      </c>
      <c r="N15" s="957">
        <f t="shared" ca="1" si="1"/>
        <v>5089.4546882940176</v>
      </c>
      <c r="O15" s="957">
        <f t="shared" si="1"/>
        <v>117.25</v>
      </c>
      <c r="P15" s="957">
        <f t="shared" si="1"/>
        <v>266.93333333333334</v>
      </c>
      <c r="Q15" s="957">
        <f t="shared" ca="1" si="1"/>
        <v>188297.18814309363</v>
      </c>
    </row>
    <row r="17" spans="1:17">
      <c r="A17" s="462" t="s">
        <v>565</v>
      </c>
      <c r="B17" s="761">
        <f ca="1">huishoudens!B10</f>
        <v>0.13682169065478431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2332.1572011607618</v>
      </c>
      <c r="C22" s="452">
        <f t="shared" ref="C22:C32" ca="1" si="3">C4*$C$17</f>
        <v>0</v>
      </c>
      <c r="D22" s="452">
        <f t="shared" ref="D22:D32" si="4">D4*$D$17</f>
        <v>3408.2069082523144</v>
      </c>
      <c r="E22" s="452">
        <f t="shared" ref="E22:E32" si="5">E4*$E$17</f>
        <v>1528.6744227769834</v>
      </c>
      <c r="F22" s="452">
        <f t="shared" ref="F22:F32" si="6">F4*$F$17</f>
        <v>2073.010397939468</v>
      </c>
      <c r="G22" s="452">
        <f t="shared" ref="G22:G32" si="7">G4*$G$17</f>
        <v>0</v>
      </c>
      <c r="H22" s="452">
        <f t="shared" ref="H22:H32" si="8">H4*$H$17</f>
        <v>0</v>
      </c>
      <c r="I22" s="452">
        <f t="shared" ref="I22:I32" si="9">I4*$I$17</f>
        <v>0</v>
      </c>
      <c r="J22" s="452">
        <f t="shared" ref="J22:J32" si="10">J4*$J$17</f>
        <v>262.52109162139163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9604.5700217509184</v>
      </c>
    </row>
    <row r="23" spans="1:17">
      <c r="A23" s="451" t="s">
        <v>155</v>
      </c>
      <c r="B23" s="452">
        <f t="shared" ca="1" si="2"/>
        <v>1112.9398122476575</v>
      </c>
      <c r="C23" s="452">
        <f t="shared" ca="1" si="3"/>
        <v>0</v>
      </c>
      <c r="D23" s="452">
        <f t="shared" ca="1" si="4"/>
        <v>1911.97529272313</v>
      </c>
      <c r="E23" s="452">
        <f t="shared" si="5"/>
        <v>42.721655903603349</v>
      </c>
      <c r="F23" s="452">
        <f t="shared" ca="1" si="6"/>
        <v>374.28410148734383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3441.9208623617346</v>
      </c>
    </row>
    <row r="24" spans="1:17">
      <c r="A24" s="451" t="s">
        <v>193</v>
      </c>
      <c r="B24" s="452">
        <f t="shared" ca="1" si="2"/>
        <v>83.24450574142125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83.24450574142125</v>
      </c>
    </row>
    <row r="25" spans="1:17">
      <c r="A25" s="451" t="s">
        <v>111</v>
      </c>
      <c r="B25" s="452">
        <f t="shared" ca="1" si="2"/>
        <v>98.051398359890641</v>
      </c>
      <c r="C25" s="452">
        <f t="shared" ca="1" si="3"/>
        <v>0</v>
      </c>
      <c r="D25" s="452">
        <f t="shared" si="4"/>
        <v>99.889042047986379</v>
      </c>
      <c r="E25" s="452">
        <f t="shared" si="5"/>
        <v>1.5067774495165731</v>
      </c>
      <c r="F25" s="452">
        <f t="shared" si="6"/>
        <v>485.47087149653066</v>
      </c>
      <c r="G25" s="452">
        <f t="shared" si="7"/>
        <v>0</v>
      </c>
      <c r="H25" s="452">
        <f t="shared" si="8"/>
        <v>0</v>
      </c>
      <c r="I25" s="452">
        <f t="shared" si="9"/>
        <v>0</v>
      </c>
      <c r="J25" s="452">
        <f t="shared" si="10"/>
        <v>38.893396492284346</v>
      </c>
      <c r="K25" s="452">
        <f t="shared" si="11"/>
        <v>0</v>
      </c>
      <c r="L25" s="452">
        <f t="shared" si="12"/>
        <v>0</v>
      </c>
      <c r="M25" s="452">
        <f t="shared" si="13"/>
        <v>0</v>
      </c>
      <c r="N25" s="452">
        <f t="shared" si="14"/>
        <v>0</v>
      </c>
      <c r="O25" s="452">
        <f t="shared" si="15"/>
        <v>0</v>
      </c>
      <c r="P25" s="453">
        <f t="shared" si="16"/>
        <v>0</v>
      </c>
      <c r="Q25" s="451">
        <f t="shared" ca="1" si="17"/>
        <v>723.81148584620848</v>
      </c>
    </row>
    <row r="26" spans="1:17">
      <c r="A26" s="451" t="s">
        <v>649</v>
      </c>
      <c r="B26" s="452">
        <f t="shared" ca="1" si="2"/>
        <v>84.264538809590803</v>
      </c>
      <c r="C26" s="452">
        <f t="shared" ca="1" si="3"/>
        <v>0</v>
      </c>
      <c r="D26" s="452">
        <f t="shared" si="4"/>
        <v>84.465956497043834</v>
      </c>
      <c r="E26" s="452">
        <f t="shared" si="5"/>
        <v>23.251509137928746</v>
      </c>
      <c r="F26" s="452">
        <f t="shared" si="6"/>
        <v>86.314913517402559</v>
      </c>
      <c r="G26" s="452">
        <f t="shared" si="7"/>
        <v>0</v>
      </c>
      <c r="H26" s="452">
        <f t="shared" si="8"/>
        <v>0</v>
      </c>
      <c r="I26" s="452">
        <f t="shared" si="9"/>
        <v>0</v>
      </c>
      <c r="J26" s="452">
        <f t="shared" si="10"/>
        <v>0.386676869211449</v>
      </c>
      <c r="K26" s="452">
        <f t="shared" si="11"/>
        <v>0</v>
      </c>
      <c r="L26" s="452">
        <f t="shared" si="12"/>
        <v>0</v>
      </c>
      <c r="M26" s="452">
        <f t="shared" si="13"/>
        <v>0</v>
      </c>
      <c r="N26" s="452">
        <f t="shared" si="14"/>
        <v>0</v>
      </c>
      <c r="O26" s="452">
        <f t="shared" si="15"/>
        <v>0</v>
      </c>
      <c r="P26" s="453">
        <f t="shared" si="16"/>
        <v>0</v>
      </c>
      <c r="Q26" s="451">
        <f t="shared" ca="1" si="17"/>
        <v>278.68359483117734</v>
      </c>
    </row>
    <row r="27" spans="1:17" s="457" customFormat="1">
      <c r="A27" s="455" t="s">
        <v>570</v>
      </c>
      <c r="B27" s="755">
        <f t="shared" ca="1" si="2"/>
        <v>1.3853129590113691</v>
      </c>
      <c r="C27" s="456">
        <f t="shared" ca="1" si="3"/>
        <v>0</v>
      </c>
      <c r="D27" s="456">
        <f t="shared" si="4"/>
        <v>3.9911640704937934</v>
      </c>
      <c r="E27" s="456">
        <f t="shared" si="5"/>
        <v>49.143336591408143</v>
      </c>
      <c r="F27" s="456">
        <f t="shared" si="6"/>
        <v>0</v>
      </c>
      <c r="G27" s="456">
        <f t="shared" si="7"/>
        <v>23863.836682668974</v>
      </c>
      <c r="H27" s="456">
        <f t="shared" si="8"/>
        <v>3069.2747934708063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26987.631289760695</v>
      </c>
    </row>
    <row r="28" spans="1:17">
      <c r="A28" s="451" t="s">
        <v>560</v>
      </c>
      <c r="B28" s="452">
        <f t="shared" ca="1" si="2"/>
        <v>0</v>
      </c>
      <c r="C28" s="452">
        <f t="shared" ca="1" si="3"/>
        <v>0</v>
      </c>
      <c r="D28" s="452">
        <f t="shared" si="4"/>
        <v>0</v>
      </c>
      <c r="E28" s="452">
        <f t="shared" si="5"/>
        <v>0</v>
      </c>
      <c r="F28" s="452">
        <f t="shared" si="6"/>
        <v>0</v>
      </c>
      <c r="G28" s="452">
        <f t="shared" si="7"/>
        <v>201.27575386668957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201.27575386668957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68.761751917414486</v>
      </c>
      <c r="C32" s="452">
        <f t="shared" ca="1" si="3"/>
        <v>0</v>
      </c>
      <c r="D32" s="452">
        <f t="shared" si="4"/>
        <v>91.648789343575388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160.41054126098987</v>
      </c>
    </row>
    <row r="33" spans="1:17" s="461" customFormat="1">
      <c r="A33" s="1017" t="s">
        <v>564</v>
      </c>
      <c r="B33" s="957">
        <f ca="1">SUM(B22:B32)</f>
        <v>3780.8045211957478</v>
      </c>
      <c r="C33" s="957">
        <f t="shared" ref="C33:Q33" ca="1" si="18">SUM(C22:C32)</f>
        <v>0</v>
      </c>
      <c r="D33" s="957">
        <f t="shared" ca="1" si="18"/>
        <v>5600.1771529345433</v>
      </c>
      <c r="E33" s="957">
        <f t="shared" si="18"/>
        <v>1645.2977018594402</v>
      </c>
      <c r="F33" s="957">
        <f t="shared" ca="1" si="18"/>
        <v>3019.0802844407453</v>
      </c>
      <c r="G33" s="957">
        <f t="shared" si="18"/>
        <v>24065.112436535663</v>
      </c>
      <c r="H33" s="957">
        <f t="shared" si="18"/>
        <v>3069.2747934708063</v>
      </c>
      <c r="I33" s="957">
        <f t="shared" si="18"/>
        <v>0</v>
      </c>
      <c r="J33" s="957">
        <f t="shared" si="18"/>
        <v>301.80116498288743</v>
      </c>
      <c r="K33" s="957">
        <f t="shared" si="18"/>
        <v>0</v>
      </c>
      <c r="L33" s="957">
        <f t="shared" ca="1" si="18"/>
        <v>0</v>
      </c>
      <c r="M33" s="957">
        <f t="shared" si="18"/>
        <v>0</v>
      </c>
      <c r="N33" s="957">
        <f t="shared" ca="1" si="18"/>
        <v>0</v>
      </c>
      <c r="O33" s="957">
        <f t="shared" si="18"/>
        <v>0</v>
      </c>
      <c r="P33" s="957">
        <f t="shared" si="18"/>
        <v>0</v>
      </c>
      <c r="Q33" s="957">
        <f t="shared" ca="1" si="18"/>
        <v>41481.548055419844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8759.7031398412892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1765.6626152463907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10525.36575508768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0.13682169065478431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0.13682169065478431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0.13682169065478431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0.13682169065478431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2956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1863</v>
      </c>
      <c r="C14" s="330"/>
      <c r="D14" s="330"/>
      <c r="E14" s="330"/>
      <c r="F14" s="330"/>
    </row>
    <row r="15" spans="1:6">
      <c r="A15" s="1305" t="s">
        <v>183</v>
      </c>
      <c r="B15" s="1306">
        <v>11</v>
      </c>
      <c r="C15" s="330"/>
      <c r="D15" s="330"/>
      <c r="E15" s="330"/>
      <c r="F15" s="330"/>
    </row>
    <row r="16" spans="1:6">
      <c r="A16" s="1305" t="s">
        <v>6</v>
      </c>
      <c r="B16" s="1306">
        <v>505</v>
      </c>
      <c r="C16" s="330"/>
      <c r="D16" s="330"/>
      <c r="E16" s="330"/>
      <c r="F16" s="330"/>
    </row>
    <row r="17" spans="1:6">
      <c r="A17" s="1305" t="s">
        <v>7</v>
      </c>
      <c r="B17" s="1306">
        <v>528</v>
      </c>
      <c r="C17" s="330"/>
      <c r="D17" s="330"/>
      <c r="E17" s="330"/>
      <c r="F17" s="330"/>
    </row>
    <row r="18" spans="1:6">
      <c r="A18" s="1305" t="s">
        <v>8</v>
      </c>
      <c r="B18" s="1306">
        <v>809</v>
      </c>
      <c r="C18" s="330"/>
      <c r="D18" s="330"/>
      <c r="E18" s="330"/>
      <c r="F18" s="330"/>
    </row>
    <row r="19" spans="1:6">
      <c r="A19" s="1305" t="s">
        <v>9</v>
      </c>
      <c r="B19" s="1306">
        <v>862</v>
      </c>
      <c r="C19" s="330"/>
      <c r="D19" s="330"/>
      <c r="E19" s="330"/>
      <c r="F19" s="330"/>
    </row>
    <row r="20" spans="1:6">
      <c r="A20" s="1305" t="s">
        <v>10</v>
      </c>
      <c r="B20" s="1306">
        <v>876</v>
      </c>
      <c r="C20" s="330"/>
      <c r="D20" s="330"/>
      <c r="E20" s="330"/>
      <c r="F20" s="330"/>
    </row>
    <row r="21" spans="1:6">
      <c r="A21" s="1305" t="s">
        <v>11</v>
      </c>
      <c r="B21" s="1306">
        <v>0</v>
      </c>
      <c r="C21" s="330"/>
      <c r="D21" s="330"/>
      <c r="E21" s="330"/>
      <c r="F21" s="330"/>
    </row>
    <row r="22" spans="1:6">
      <c r="A22" s="1305" t="s">
        <v>12</v>
      </c>
      <c r="B22" s="1306">
        <v>453</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2</v>
      </c>
      <c r="C25" s="330"/>
      <c r="D25" s="330"/>
      <c r="E25" s="330"/>
      <c r="F25" s="330"/>
    </row>
    <row r="26" spans="1:6">
      <c r="A26" s="1305" t="s">
        <v>16</v>
      </c>
      <c r="B26" s="1306">
        <v>133</v>
      </c>
      <c r="C26" s="330"/>
      <c r="D26" s="330"/>
      <c r="E26" s="330"/>
      <c r="F26" s="330"/>
    </row>
    <row r="27" spans="1:6">
      <c r="A27" s="1305" t="s">
        <v>17</v>
      </c>
      <c r="B27" s="1306">
        <v>62</v>
      </c>
      <c r="C27" s="330"/>
      <c r="D27" s="330"/>
      <c r="E27" s="330"/>
      <c r="F27" s="330"/>
    </row>
    <row r="28" spans="1:6" s="43" customFormat="1">
      <c r="A28" s="1307" t="s">
        <v>18</v>
      </c>
      <c r="B28" s="1308">
        <v>46839</v>
      </c>
      <c r="C28" s="336"/>
      <c r="D28" s="336"/>
      <c r="E28" s="336"/>
      <c r="F28" s="336"/>
    </row>
    <row r="29" spans="1:6">
      <c r="A29" s="1307" t="s">
        <v>909</v>
      </c>
      <c r="B29" s="1308">
        <v>51</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6056.2924652409001</v>
      </c>
      <c r="E38" s="1306">
        <v>3</v>
      </c>
      <c r="F38" s="1306">
        <v>16568.150000000001</v>
      </c>
    </row>
    <row r="39" spans="1:6">
      <c r="A39" s="1305" t="s">
        <v>29</v>
      </c>
      <c r="B39" s="1305" t="s">
        <v>30</v>
      </c>
      <c r="C39" s="1306">
        <v>1379</v>
      </c>
      <c r="D39" s="1306">
        <v>18705445.0410107</v>
      </c>
      <c r="E39" s="1306">
        <v>2930</v>
      </c>
      <c r="F39" s="1306">
        <v>15660184</v>
      </c>
    </row>
    <row r="40" spans="1:6">
      <c r="A40" s="1305" t="s">
        <v>29</v>
      </c>
      <c r="B40" s="1305" t="s">
        <v>28</v>
      </c>
      <c r="C40" s="1306">
        <v>0</v>
      </c>
      <c r="D40" s="1306">
        <v>0</v>
      </c>
      <c r="E40" s="1306">
        <v>0</v>
      </c>
      <c r="F40" s="1306">
        <v>0</v>
      </c>
    </row>
    <row r="41" spans="1:6">
      <c r="A41" s="1305" t="s">
        <v>31</v>
      </c>
      <c r="B41" s="1305" t="s">
        <v>32</v>
      </c>
      <c r="C41" s="1306">
        <v>15</v>
      </c>
      <c r="D41" s="1306">
        <v>235447.33070269701</v>
      </c>
      <c r="E41" s="1306">
        <v>57</v>
      </c>
      <c r="F41" s="1306">
        <v>321234.59999999998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34273.9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7</v>
      </c>
      <c r="D48" s="1306">
        <v>228131.71529543601</v>
      </c>
      <c r="E48" s="1306">
        <v>16</v>
      </c>
      <c r="F48" s="1306">
        <v>260362.7</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4</v>
      </c>
      <c r="D51" s="1306">
        <v>43524.140271109703</v>
      </c>
      <c r="E51" s="1306">
        <v>56</v>
      </c>
      <c r="F51" s="1306">
        <v>681355.6</v>
      </c>
    </row>
    <row r="52" spans="1:6">
      <c r="A52" s="1305" t="s">
        <v>41</v>
      </c>
      <c r="B52" s="1305" t="s">
        <v>28</v>
      </c>
      <c r="C52" s="1306">
        <v>6</v>
      </c>
      <c r="D52" s="1306">
        <v>504702.25458293501</v>
      </c>
      <c r="E52" s="1306">
        <v>6</v>
      </c>
      <c r="F52" s="1306">
        <v>35280.76</v>
      </c>
    </row>
    <row r="53" spans="1:6">
      <c r="A53" s="1305" t="s">
        <v>43</v>
      </c>
      <c r="B53" s="1305" t="s">
        <v>44</v>
      </c>
      <c r="C53" s="1306">
        <v>27</v>
      </c>
      <c r="D53" s="1306">
        <v>453706.87793849199</v>
      </c>
      <c r="E53" s="1306">
        <v>95</v>
      </c>
      <c r="F53" s="1306">
        <v>502564.7</v>
      </c>
    </row>
    <row r="54" spans="1:6">
      <c r="A54" s="1305" t="s">
        <v>45</v>
      </c>
      <c r="B54" s="1305" t="s">
        <v>46</v>
      </c>
      <c r="C54" s="1306">
        <v>0</v>
      </c>
      <c r="D54" s="1306">
        <v>0</v>
      </c>
      <c r="E54" s="1306">
        <v>1</v>
      </c>
      <c r="F54" s="1306">
        <v>608416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9</v>
      </c>
      <c r="D57" s="1306">
        <v>97075.189041849706</v>
      </c>
      <c r="E57" s="1306">
        <v>26</v>
      </c>
      <c r="F57" s="1306">
        <v>355565.2</v>
      </c>
    </row>
    <row r="58" spans="1:6">
      <c r="A58" s="1305" t="s">
        <v>48</v>
      </c>
      <c r="B58" s="1305" t="s">
        <v>50</v>
      </c>
      <c r="C58" s="1306">
        <v>0</v>
      </c>
      <c r="D58" s="1306">
        <v>0</v>
      </c>
      <c r="E58" s="1306">
        <v>0</v>
      </c>
      <c r="F58" s="1306">
        <v>0</v>
      </c>
    </row>
    <row r="59" spans="1:6">
      <c r="A59" s="1305" t="s">
        <v>48</v>
      </c>
      <c r="B59" s="1305" t="s">
        <v>51</v>
      </c>
      <c r="C59" s="1306">
        <v>9</v>
      </c>
      <c r="D59" s="1306">
        <v>301776.18135653401</v>
      </c>
      <c r="E59" s="1306">
        <v>66</v>
      </c>
      <c r="F59" s="1306">
        <v>1655539</v>
      </c>
    </row>
    <row r="60" spans="1:6">
      <c r="A60" s="1305" t="s">
        <v>48</v>
      </c>
      <c r="B60" s="1305" t="s">
        <v>52</v>
      </c>
      <c r="C60" s="1306">
        <v>26</v>
      </c>
      <c r="D60" s="1306">
        <v>6276228.3169199098</v>
      </c>
      <c r="E60" s="1306">
        <v>32</v>
      </c>
      <c r="F60" s="1306">
        <v>3695184</v>
      </c>
    </row>
    <row r="61" spans="1:6">
      <c r="A61" s="1305" t="s">
        <v>48</v>
      </c>
      <c r="B61" s="1305" t="s">
        <v>53</v>
      </c>
      <c r="C61" s="1306">
        <v>41</v>
      </c>
      <c r="D61" s="1306">
        <v>1756576.5178465201</v>
      </c>
      <c r="E61" s="1306">
        <v>92</v>
      </c>
      <c r="F61" s="1306">
        <v>1279982</v>
      </c>
    </row>
    <row r="62" spans="1:6">
      <c r="A62" s="1305" t="s">
        <v>48</v>
      </c>
      <c r="B62" s="1305" t="s">
        <v>54</v>
      </c>
      <c r="C62" s="1306">
        <v>0</v>
      </c>
      <c r="D62" s="1306">
        <v>0</v>
      </c>
      <c r="E62" s="1306">
        <v>0</v>
      </c>
      <c r="F62" s="1306">
        <v>0</v>
      </c>
    </row>
    <row r="63" spans="1:6">
      <c r="A63" s="1305" t="s">
        <v>48</v>
      </c>
      <c r="B63" s="1305" t="s">
        <v>28</v>
      </c>
      <c r="C63" s="1306">
        <v>51</v>
      </c>
      <c r="D63" s="1306">
        <v>2061940.4926197</v>
      </c>
      <c r="E63" s="1306">
        <v>79</v>
      </c>
      <c r="F63" s="1306">
        <v>1147965</v>
      </c>
    </row>
    <row r="64" spans="1:6">
      <c r="A64" s="1305" t="s">
        <v>55</v>
      </c>
      <c r="B64" s="1305" t="s">
        <v>56</v>
      </c>
      <c r="C64" s="1306">
        <v>0</v>
      </c>
      <c r="D64" s="1306">
        <v>0</v>
      </c>
      <c r="E64" s="1306">
        <v>0</v>
      </c>
      <c r="F64" s="1306">
        <v>0</v>
      </c>
    </row>
    <row r="65" spans="1:6">
      <c r="A65" s="1305" t="s">
        <v>55</v>
      </c>
      <c r="B65" s="1305" t="s">
        <v>28</v>
      </c>
      <c r="C65" s="1306">
        <v>1</v>
      </c>
      <c r="D65" s="1306">
        <v>31151.043967691501</v>
      </c>
      <c r="E65" s="1306">
        <v>2</v>
      </c>
      <c r="F65" s="1306">
        <v>33294.589999999997</v>
      </c>
    </row>
    <row r="66" spans="1:6">
      <c r="A66" s="1305" t="s">
        <v>55</v>
      </c>
      <c r="B66" s="1305" t="s">
        <v>57</v>
      </c>
      <c r="C66" s="1306">
        <v>0</v>
      </c>
      <c r="D66" s="1306">
        <v>0</v>
      </c>
      <c r="E66" s="1306">
        <v>4</v>
      </c>
      <c r="F66" s="1306">
        <v>189222.2</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45493.4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18028789</v>
      </c>
      <c r="E73" s="450"/>
      <c r="F73" s="330"/>
    </row>
    <row r="74" spans="1:6">
      <c r="A74" s="1305" t="s">
        <v>63</v>
      </c>
      <c r="B74" s="1305" t="s">
        <v>710</v>
      </c>
      <c r="C74" s="1319" t="s">
        <v>712</v>
      </c>
      <c r="D74" s="1320">
        <v>1598583.1627808535</v>
      </c>
      <c r="E74" s="450"/>
      <c r="F74" s="330"/>
    </row>
    <row r="75" spans="1:6">
      <c r="A75" s="1305" t="s">
        <v>64</v>
      </c>
      <c r="B75" s="1305" t="s">
        <v>709</v>
      </c>
      <c r="C75" s="1319" t="s">
        <v>713</v>
      </c>
      <c r="D75" s="1320">
        <v>13847815</v>
      </c>
      <c r="E75" s="450"/>
      <c r="F75" s="330"/>
    </row>
    <row r="76" spans="1:6">
      <c r="A76" s="1305" t="s">
        <v>64</v>
      </c>
      <c r="B76" s="1305" t="s">
        <v>710</v>
      </c>
      <c r="C76" s="1319" t="s">
        <v>714</v>
      </c>
      <c r="D76" s="1320">
        <v>238457.16278085351</v>
      </c>
      <c r="E76" s="450"/>
      <c r="F76" s="330"/>
    </row>
    <row r="77" spans="1:6">
      <c r="A77" s="1305" t="s">
        <v>65</v>
      </c>
      <c r="B77" s="1305" t="s">
        <v>709</v>
      </c>
      <c r="C77" s="1319" t="s">
        <v>715</v>
      </c>
      <c r="D77" s="1320">
        <v>57612401</v>
      </c>
      <c r="E77" s="450"/>
      <c r="F77" s="330"/>
    </row>
    <row r="78" spans="1:6">
      <c r="A78" s="1300" t="s">
        <v>65</v>
      </c>
      <c r="B78" s="1300" t="s">
        <v>710</v>
      </c>
      <c r="C78" s="1300" t="s">
        <v>716</v>
      </c>
      <c r="D78" s="1321">
        <v>15087725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213975.67443829295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8759.7031398412892</v>
      </c>
      <c r="C90" s="330"/>
      <c r="D90" s="330"/>
      <c r="E90" s="330"/>
      <c r="F90" s="330"/>
    </row>
    <row r="91" spans="1:6">
      <c r="A91" s="1305" t="s">
        <v>67</v>
      </c>
      <c r="B91" s="1306">
        <v>1385.046109347523</v>
      </c>
      <c r="C91" s="330"/>
      <c r="D91" s="330"/>
      <c r="E91" s="330"/>
      <c r="F91" s="330"/>
    </row>
    <row r="92" spans="1:6">
      <c r="A92" s="1300" t="s">
        <v>68</v>
      </c>
      <c r="B92" s="1301">
        <v>380.61650589886767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421</v>
      </c>
      <c r="C97" s="330"/>
      <c r="D97" s="330"/>
      <c r="E97" s="330"/>
      <c r="F97" s="330"/>
    </row>
    <row r="98" spans="1:6">
      <c r="A98" s="1305" t="s">
        <v>71</v>
      </c>
      <c r="B98" s="1306">
        <v>1</v>
      </c>
      <c r="C98" s="330"/>
      <c r="D98" s="330"/>
      <c r="E98" s="330"/>
      <c r="F98" s="330"/>
    </row>
    <row r="99" spans="1:6">
      <c r="A99" s="1305" t="s">
        <v>72</v>
      </c>
      <c r="B99" s="1306">
        <v>53</v>
      </c>
      <c r="C99" s="330"/>
      <c r="D99" s="330"/>
      <c r="E99" s="330"/>
      <c r="F99" s="330"/>
    </row>
    <row r="100" spans="1:6">
      <c r="A100" s="1305" t="s">
        <v>73</v>
      </c>
      <c r="B100" s="1306">
        <v>643</v>
      </c>
      <c r="C100" s="330"/>
      <c r="D100" s="330"/>
      <c r="E100" s="330"/>
      <c r="F100" s="330"/>
    </row>
    <row r="101" spans="1:6">
      <c r="A101" s="1305" t="s">
        <v>74</v>
      </c>
      <c r="B101" s="1306">
        <v>51</v>
      </c>
      <c r="C101" s="330"/>
      <c r="D101" s="330"/>
      <c r="E101" s="330"/>
      <c r="F101" s="330"/>
    </row>
    <row r="102" spans="1:6">
      <c r="A102" s="1305" t="s">
        <v>75</v>
      </c>
      <c r="B102" s="1306">
        <v>57</v>
      </c>
      <c r="C102" s="330"/>
      <c r="D102" s="330"/>
      <c r="E102" s="330"/>
      <c r="F102" s="330"/>
    </row>
    <row r="103" spans="1:6">
      <c r="A103" s="1305" t="s">
        <v>76</v>
      </c>
      <c r="B103" s="1306">
        <v>123</v>
      </c>
      <c r="C103" s="330"/>
      <c r="D103" s="330"/>
      <c r="E103" s="330"/>
      <c r="F103" s="330"/>
    </row>
    <row r="104" spans="1:6">
      <c r="A104" s="1305" t="s">
        <v>77</v>
      </c>
      <c r="B104" s="1306">
        <v>1209</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68</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27633.078520679301</v>
      </c>
      <c r="C3" s="43" t="s">
        <v>169</v>
      </c>
      <c r="D3" s="43"/>
      <c r="E3" s="154"/>
      <c r="F3" s="43"/>
      <c r="G3" s="43"/>
      <c r="H3" s="43"/>
      <c r="I3" s="43"/>
      <c r="J3" s="43"/>
      <c r="K3" s="96"/>
    </row>
    <row r="4" spans="1:11">
      <c r="A4" s="359" t="s">
        <v>170</v>
      </c>
      <c r="B4" s="49">
        <f>IF(ISERROR('SEAP template'!B78+'SEAP template'!C78),0,'SEAP template'!B78+'SEAP template'!C78)</f>
        <v>10525.36575508768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0.13682169065478431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608.41600000000005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608.41600000000005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0.13682169065478431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83.24450574142125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15660.183999999999</v>
      </c>
      <c r="C5" s="17">
        <f>IF(ISERROR('Eigen informatie GS &amp; warmtenet'!B57),0,'Eigen informatie GS &amp; warmtenet'!B57)</f>
        <v>0</v>
      </c>
      <c r="D5" s="30">
        <f>(SUM(HH_hh_gas_kWh,HH_rest_gas_kWh)/1000)*0.902</f>
        <v>16872.311426991655</v>
      </c>
      <c r="E5" s="17">
        <f>B46*B57</f>
        <v>6734.2485584889137</v>
      </c>
      <c r="F5" s="17">
        <f>B51*B62</f>
        <v>7764.083887413738</v>
      </c>
      <c r="G5" s="18"/>
      <c r="H5" s="17"/>
      <c r="I5" s="17"/>
      <c r="J5" s="17">
        <f>B50*B61+C50*C61</f>
        <v>741.58500458020239</v>
      </c>
      <c r="K5" s="17"/>
      <c r="L5" s="17"/>
      <c r="M5" s="17"/>
      <c r="N5" s="17">
        <f>B48*B59+C48*C59</f>
        <v>4672.9691552091954</v>
      </c>
      <c r="O5" s="17">
        <f>B69*B70*B71</f>
        <v>117.25</v>
      </c>
      <c r="P5" s="17">
        <f>B77*B78*B79/1000-B77*B78*B79/1000/B80</f>
        <v>266.93333333333334</v>
      </c>
    </row>
    <row r="6" spans="1:16">
      <c r="A6" s="16" t="s">
        <v>630</v>
      </c>
      <c r="B6" s="763">
        <f>kWh_PV_kleiner_dan_10kW</f>
        <v>1385.046109347523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17045.230109347522</v>
      </c>
      <c r="C8" s="21">
        <f>C5</f>
        <v>0</v>
      </c>
      <c r="D8" s="21">
        <f>D5</f>
        <v>16872.311426991655</v>
      </c>
      <c r="E8" s="21">
        <f>E5</f>
        <v>6734.2485584889137</v>
      </c>
      <c r="F8" s="21">
        <f>F5</f>
        <v>7764.083887413738</v>
      </c>
      <c r="G8" s="21"/>
      <c r="H8" s="21"/>
      <c r="I8" s="21"/>
      <c r="J8" s="21">
        <f>J5</f>
        <v>741.58500458020239</v>
      </c>
      <c r="K8" s="21"/>
      <c r="L8" s="21">
        <f>L5</f>
        <v>0</v>
      </c>
      <c r="M8" s="21">
        <f>M5</f>
        <v>0</v>
      </c>
      <c r="N8" s="21">
        <f>N5</f>
        <v>4672.9691552091954</v>
      </c>
      <c r="O8" s="21">
        <f>O5</f>
        <v>117.25</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0.13682169065478431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2332.1572011607618</v>
      </c>
      <c r="C12" s="23">
        <f ca="1">C10*C8</f>
        <v>0</v>
      </c>
      <c r="D12" s="23">
        <f>D8*D10</f>
        <v>3408.2069082523144</v>
      </c>
      <c r="E12" s="23">
        <f>E10*E8</f>
        <v>1528.6744227769834</v>
      </c>
      <c r="F12" s="23">
        <f>F10*F8</f>
        <v>2073.010397939468</v>
      </c>
      <c r="G12" s="23"/>
      <c r="H12" s="23"/>
      <c r="I12" s="23"/>
      <c r="J12" s="23">
        <f>J10*J8</f>
        <v>262.52109162139163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2956</v>
      </c>
      <c r="C28" s="36"/>
      <c r="D28" s="228"/>
    </row>
    <row r="29" spans="1:7" s="15" customFormat="1">
      <c r="A29" s="230" t="s">
        <v>737</v>
      </c>
      <c r="B29" s="37">
        <f>SUM(HH_hh_gas_aantal,HH_rest_gas_aantal)</f>
        <v>1379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1379</v>
      </c>
      <c r="C32" s="167">
        <f>IF(ISERROR(B32/SUM($B$32,$B$34,$B$35,$B$36,$B$38,$B$39)*100),0,B32/SUM($B$32,$B$34,$B$35,$B$36,$B$38,$B$39)*100)</f>
        <v>46.872875594833445</v>
      </c>
      <c r="D32" s="233"/>
      <c r="G32" s="15"/>
    </row>
    <row r="33" spans="1:7">
      <c r="A33" s="171" t="s">
        <v>71</v>
      </c>
      <c r="B33" s="34" t="s">
        <v>110</v>
      </c>
      <c r="C33" s="167"/>
      <c r="D33" s="233"/>
      <c r="G33" s="15"/>
    </row>
    <row r="34" spans="1:7">
      <c r="A34" s="171" t="s">
        <v>72</v>
      </c>
      <c r="B34" s="33">
        <f>IF((($B$28-$B$32-$B$39-$B$77-$B$38)*C20/100)&lt;0,0,($B$28-$B$32-$B$39-$B$77-$B$38)*C20/100)</f>
        <v>84.360107095046843</v>
      </c>
      <c r="C34" s="167">
        <f>IF(ISERROR(B34/SUM($B$32,$B$34,$B$35,$B$36,$B$38,$B$39)*100),0,B34/SUM($B$32,$B$34,$B$35,$B$36,$B$38,$B$39)*100)</f>
        <v>2.8674407578194034</v>
      </c>
      <c r="D34" s="233"/>
      <c r="G34" s="15"/>
    </row>
    <row r="35" spans="1:7">
      <c r="A35" s="171" t="s">
        <v>73</v>
      </c>
      <c r="B35" s="33">
        <f>IF((($B$28-$B$32-$B$39-$B$77-$B$38)*C21/100)&lt;0,0,($B$28-$B$32-$B$39-$B$77-$B$38)*C21/100)</f>
        <v>1023.463186077644</v>
      </c>
      <c r="C35" s="167">
        <f>IF(ISERROR(B35/SUM($B$32,$B$34,$B$35,$B$36,$B$38,$B$39)*100),0,B35/SUM($B$32,$B$34,$B$35,$B$36,$B$38,$B$39)*100)</f>
        <v>34.788007684488235</v>
      </c>
      <c r="D35" s="233"/>
      <c r="G35" s="15"/>
    </row>
    <row r="36" spans="1:7">
      <c r="A36" s="171" t="s">
        <v>74</v>
      </c>
      <c r="B36" s="33">
        <f>IF((($B$28-$B$32-$B$39-$B$77-$B$38)*C22/100)&lt;0,0,($B$28-$B$32-$B$39-$B$77-$B$38)*C22/100)</f>
        <v>81.176706827309246</v>
      </c>
      <c r="C36" s="167">
        <f>IF(ISERROR(B36/SUM($B$32,$B$34,$B$35,$B$36,$B$38,$B$39)*100),0,B36/SUM($B$32,$B$34,$B$35,$B$36,$B$38,$B$39)*100)</f>
        <v>2.7592354462035775</v>
      </c>
      <c r="D36" s="233"/>
      <c r="G36" s="15"/>
    </row>
    <row r="37" spans="1:7">
      <c r="A37" s="171" t="s">
        <v>75</v>
      </c>
      <c r="B37" s="34" t="s">
        <v>110</v>
      </c>
      <c r="C37" s="167"/>
      <c r="D37" s="173"/>
      <c r="G37" s="15"/>
    </row>
    <row r="38" spans="1:7">
      <c r="A38" s="171" t="s">
        <v>76</v>
      </c>
      <c r="B38" s="33">
        <f>IF((B24-(B29-B18)*0.1)&lt;0,0,B24-(B29-B18)*0.1)</f>
        <v>27.199999999999989</v>
      </c>
      <c r="C38" s="167">
        <f>IF(ISERROR(B38/SUM($B$32,$B$34,$B$35,$B$36,$B$38,$B$39)*100),0,B38/SUM($B$32,$B$34,$B$35,$B$36,$B$38,$B$39)*100)</f>
        <v>0.92454112848402403</v>
      </c>
      <c r="D38" s="234"/>
      <c r="G38" s="15"/>
    </row>
    <row r="39" spans="1:7">
      <c r="A39" s="171" t="s">
        <v>77</v>
      </c>
      <c r="B39" s="33">
        <f>IF((B25-(B29-B18))&lt;0,0,B25-(B29-B18)*0.9)</f>
        <v>346.79999999999995</v>
      </c>
      <c r="C39" s="167">
        <f>IF(ISERROR(B39/SUM($B$32,$B$34,$B$35,$B$36,$B$38,$B$39)*100),0,B39/SUM($B$32,$B$34,$B$35,$B$36,$B$38,$B$39)*100)</f>
        <v>11.787899388171311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1379</v>
      </c>
      <c r="C44" s="34" t="s">
        <v>110</v>
      </c>
      <c r="D44" s="174"/>
    </row>
    <row r="45" spans="1:7">
      <c r="A45" s="171" t="s">
        <v>71</v>
      </c>
      <c r="B45" s="33" t="str">
        <f t="shared" si="0"/>
        <v>-</v>
      </c>
      <c r="C45" s="34" t="s">
        <v>110</v>
      </c>
      <c r="D45" s="174"/>
    </row>
    <row r="46" spans="1:7">
      <c r="A46" s="171" t="s">
        <v>72</v>
      </c>
      <c r="B46" s="33">
        <f t="shared" si="0"/>
        <v>84.360107095046843</v>
      </c>
      <c r="C46" s="34" t="s">
        <v>110</v>
      </c>
      <c r="D46" s="174"/>
    </row>
    <row r="47" spans="1:7">
      <c r="A47" s="171" t="s">
        <v>73</v>
      </c>
      <c r="B47" s="33">
        <f t="shared" si="0"/>
        <v>1023.463186077644</v>
      </c>
      <c r="C47" s="34" t="s">
        <v>110</v>
      </c>
      <c r="D47" s="174"/>
    </row>
    <row r="48" spans="1:7">
      <c r="A48" s="171" t="s">
        <v>74</v>
      </c>
      <c r="B48" s="33">
        <f t="shared" si="0"/>
        <v>81.176706827309246</v>
      </c>
      <c r="C48" s="33">
        <f>B48*10</f>
        <v>811.76706827309249</v>
      </c>
      <c r="D48" s="234"/>
    </row>
    <row r="49" spans="1:6">
      <c r="A49" s="171" t="s">
        <v>75</v>
      </c>
      <c r="B49" s="33" t="str">
        <f t="shared" si="0"/>
        <v>-</v>
      </c>
      <c r="C49" s="34" t="s">
        <v>110</v>
      </c>
      <c r="D49" s="234"/>
    </row>
    <row r="50" spans="1:6">
      <c r="A50" s="171" t="s">
        <v>76</v>
      </c>
      <c r="B50" s="33">
        <f t="shared" si="0"/>
        <v>27.199999999999989</v>
      </c>
      <c r="C50" s="33">
        <f>B50*2</f>
        <v>54.399999999999977</v>
      </c>
      <c r="D50" s="234"/>
    </row>
    <row r="51" spans="1:6">
      <c r="A51" s="171" t="s">
        <v>77</v>
      </c>
      <c r="B51" s="33">
        <f t="shared" si="0"/>
        <v>346.79999999999995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8134.2352000000001</v>
      </c>
      <c r="C5" s="17">
        <f>IF(ISERROR('Eigen informatie GS &amp; warmtenet'!B58),0,'Eigen informatie GS &amp; warmtenet'!B58)</f>
        <v>0</v>
      </c>
      <c r="D5" s="30">
        <f>SUM(D6:D12)</f>
        <v>9465.2242214016333</v>
      </c>
      <c r="E5" s="17">
        <f>SUM(E6:E12)</f>
        <v>188.20112732864911</v>
      </c>
      <c r="F5" s="17">
        <f>SUM(F6:F12)</f>
        <v>1401.8131141848082</v>
      </c>
      <c r="G5" s="18"/>
      <c r="H5" s="17"/>
      <c r="I5" s="17"/>
      <c r="J5" s="17">
        <f>SUM(J6:J12)</f>
        <v>0</v>
      </c>
      <c r="K5" s="17"/>
      <c r="L5" s="17"/>
      <c r="M5" s="17"/>
      <c r="N5" s="17">
        <f>SUM(N6:N12)</f>
        <v>375.56184397077863</v>
      </c>
      <c r="O5" s="17">
        <f>B38*B39*B40</f>
        <v>0</v>
      </c>
      <c r="P5" s="17">
        <f>B46*B47*B48/1000-B46*B47*B48/1000/B49</f>
        <v>0</v>
      </c>
      <c r="R5" s="32"/>
    </row>
    <row r="6" spans="1:18">
      <c r="A6" s="32" t="s">
        <v>53</v>
      </c>
      <c r="B6" s="37">
        <f>B26</f>
        <v>1279.982</v>
      </c>
      <c r="C6" s="33"/>
      <c r="D6" s="37">
        <f>IF(ISERROR(TER_kantoor_gas_kWh/1000),0,TER_kantoor_gas_kWh/1000)*0.902</f>
        <v>1584.4320190975611</v>
      </c>
      <c r="E6" s="33">
        <f>$C$26*'E Balans VL '!I12/100/3.6*1000000</f>
        <v>3.7082956539880478</v>
      </c>
      <c r="F6" s="33">
        <f>$C$26*('E Balans VL '!L12+'E Balans VL '!N12)/100/3.6*1000000</f>
        <v>144.86576221011316</v>
      </c>
      <c r="G6" s="34"/>
      <c r="H6" s="33"/>
      <c r="I6" s="33"/>
      <c r="J6" s="33">
        <f>$C$26*('E Balans VL '!D12+'E Balans VL '!E12)/100/3.6*1000000</f>
        <v>0</v>
      </c>
      <c r="K6" s="33"/>
      <c r="L6" s="33"/>
      <c r="M6" s="33"/>
      <c r="N6" s="33">
        <f>$C$26*'E Balans VL '!Y12/100/3.6*1000000</f>
        <v>12.81167668715268</v>
      </c>
      <c r="O6" s="33"/>
      <c r="P6" s="33"/>
      <c r="R6" s="32"/>
    </row>
    <row r="7" spans="1:18">
      <c r="A7" s="32" t="s">
        <v>52</v>
      </c>
      <c r="B7" s="37">
        <f t="shared" ref="B7:B12" si="0">B27</f>
        <v>3695.1840000000002</v>
      </c>
      <c r="C7" s="33"/>
      <c r="D7" s="37">
        <f>IF(ISERROR(TER_horeca_gas_kWh/1000),0,TER_horeca_gas_kWh/1000)*0.902</f>
        <v>5661.1579418617594</v>
      </c>
      <c r="E7" s="33">
        <f>$C$27*'E Balans VL '!I9/100/3.6*1000000</f>
        <v>155.11350017994857</v>
      </c>
      <c r="F7" s="33">
        <f>$C$27*('E Balans VL '!L9+'E Balans VL '!N9)/100/3.6*1000000</f>
        <v>793.98605928481049</v>
      </c>
      <c r="G7" s="34"/>
      <c r="H7" s="33"/>
      <c r="I7" s="33"/>
      <c r="J7" s="33">
        <f>$C$27*('E Balans VL '!D9+'E Balans VL '!E9)/100/3.6*1000000</f>
        <v>0</v>
      </c>
      <c r="K7" s="33"/>
      <c r="L7" s="33"/>
      <c r="M7" s="33"/>
      <c r="N7" s="33">
        <f>$C$27*'E Balans VL '!Y9/100/3.6*1000000</f>
        <v>0.95221660124359853</v>
      </c>
      <c r="O7" s="33"/>
      <c r="P7" s="33"/>
      <c r="R7" s="32"/>
    </row>
    <row r="8" spans="1:18">
      <c r="A8" s="6" t="s">
        <v>51</v>
      </c>
      <c r="B8" s="37">
        <f t="shared" si="0"/>
        <v>1655.539</v>
      </c>
      <c r="C8" s="33"/>
      <c r="D8" s="37">
        <f>IF(ISERROR(TER_handel_gas_kWh/1000),0,TER_handel_gas_kWh/1000)*0.902</f>
        <v>272.2021155835937</v>
      </c>
      <c r="E8" s="33">
        <f>$C$28*'E Balans VL '!I13/100/3.6*1000000</f>
        <v>17.781866725941669</v>
      </c>
      <c r="F8" s="33">
        <f>$C$28*('E Balans VL '!L13+'E Balans VL '!N13)/100/3.6*1000000</f>
        <v>214.32319470923392</v>
      </c>
      <c r="G8" s="34"/>
      <c r="H8" s="33"/>
      <c r="I8" s="33"/>
      <c r="J8" s="33">
        <f>$C$28*('E Balans VL '!D13+'E Balans VL '!E13)/100/3.6*1000000</f>
        <v>0</v>
      </c>
      <c r="K8" s="33"/>
      <c r="L8" s="33"/>
      <c r="M8" s="33"/>
      <c r="N8" s="33">
        <f>$C$28*'E Balans VL '!Y13/100/3.6*1000000</f>
        <v>13.429822764359793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355.5652</v>
      </c>
      <c r="C10" s="33"/>
      <c r="D10" s="37">
        <f>IF(ISERROR(TER_ander_gas_kWh/1000),0,TER_ander_gas_kWh/1000)*0.902</f>
        <v>87.561820515748437</v>
      </c>
      <c r="E10" s="33">
        <f>$C$30*'E Balans VL '!I14/100/3.6*1000000</f>
        <v>1.2185406194012227</v>
      </c>
      <c r="F10" s="33">
        <f>$C$30*('E Balans VL '!L14+'E Balans VL '!N14)/100/3.6*1000000</f>
        <v>79.418817212250971</v>
      </c>
      <c r="G10" s="34"/>
      <c r="H10" s="33"/>
      <c r="I10" s="33"/>
      <c r="J10" s="33">
        <f>$C$30*('E Balans VL '!D14+'E Balans VL '!E14)/100/3.6*1000000</f>
        <v>0</v>
      </c>
      <c r="K10" s="33"/>
      <c r="L10" s="33"/>
      <c r="M10" s="33"/>
      <c r="N10" s="33">
        <f>$C$30*'E Balans VL '!Y14/100/3.6*1000000</f>
        <v>250.46206929471867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1147.9649999999999</v>
      </c>
      <c r="C12" s="33"/>
      <c r="D12" s="37">
        <f>IF(ISERROR(TER_rest_gas_kWh/1000),0,TER_rest_gas_kWh/1000)*0.902</f>
        <v>1859.8703243429693</v>
      </c>
      <c r="E12" s="33">
        <f>$C$32*'E Balans VL '!I8/100/3.6*1000000</f>
        <v>10.378924149369633</v>
      </c>
      <c r="F12" s="33">
        <f>$C$32*('E Balans VL '!L8+'E Balans VL '!N8)/100/3.6*1000000</f>
        <v>169.21928076839964</v>
      </c>
      <c r="G12" s="34"/>
      <c r="H12" s="33"/>
      <c r="I12" s="33"/>
      <c r="J12" s="33">
        <f>$C$32*('E Balans VL '!D8+'E Balans VL '!E8)/100/3.6*1000000</f>
        <v>0</v>
      </c>
      <c r="K12" s="33"/>
      <c r="L12" s="33"/>
      <c r="M12" s="33"/>
      <c r="N12" s="33">
        <f>$C$32*'E Balans VL '!Y8/100/3.6*1000000</f>
        <v>97.906058623303849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8134.2352000000001</v>
      </c>
      <c r="C16" s="21">
        <f t="shared" ca="1" si="1"/>
        <v>0</v>
      </c>
      <c r="D16" s="21">
        <f t="shared" ca="1" si="1"/>
        <v>9465.2242214016333</v>
      </c>
      <c r="E16" s="21">
        <f t="shared" si="1"/>
        <v>188.20112732864911</v>
      </c>
      <c r="F16" s="21">
        <f t="shared" ca="1" si="1"/>
        <v>1401.8131141848082</v>
      </c>
      <c r="G16" s="21">
        <f t="shared" si="1"/>
        <v>0</v>
      </c>
      <c r="H16" s="21">
        <f t="shared" si="1"/>
        <v>0</v>
      </c>
      <c r="I16" s="21">
        <f t="shared" si="1"/>
        <v>0</v>
      </c>
      <c r="J16" s="21">
        <f t="shared" si="1"/>
        <v>0</v>
      </c>
      <c r="K16" s="21">
        <f t="shared" si="1"/>
        <v>0</v>
      </c>
      <c r="L16" s="21">
        <f t="shared" ca="1" si="1"/>
        <v>0</v>
      </c>
      <c r="M16" s="21">
        <f t="shared" si="1"/>
        <v>0</v>
      </c>
      <c r="N16" s="21">
        <f t="shared" ca="1" si="1"/>
        <v>375.56184397077863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0.13682169065478431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1112.9398122476575</v>
      </c>
      <c r="C20" s="23">
        <f t="shared" ref="C20:P20" ca="1" si="2">C16*C18</f>
        <v>0</v>
      </c>
      <c r="D20" s="23">
        <f t="shared" ca="1" si="2"/>
        <v>1911.97529272313</v>
      </c>
      <c r="E20" s="23">
        <f t="shared" si="2"/>
        <v>42.721655903603349</v>
      </c>
      <c r="F20" s="23">
        <f t="shared" ca="1" si="2"/>
        <v>374.28410148734383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1279.982</v>
      </c>
      <c r="C26" s="39">
        <f>IF(ISERROR(B26*3.6/1000000/'E Balans VL '!Z12*100),0,B26*3.6/1000000/'E Balans VL '!Z12*100)</f>
        <v>2.8116284437375832E-2</v>
      </c>
      <c r="D26" s="237" t="s">
        <v>691</v>
      </c>
      <c r="F26" s="6"/>
    </row>
    <row r="27" spans="1:18">
      <c r="A27" s="231" t="s">
        <v>52</v>
      </c>
      <c r="B27" s="33">
        <f>IF(ISERROR(TER_horeca_ele_kWh/1000),0,TER_horeca_ele_kWh/1000)</f>
        <v>3695.1840000000002</v>
      </c>
      <c r="C27" s="39">
        <f>IF(ISERROR(B27*3.6/1000000/'E Balans VL '!Z9*100),0,B27*3.6/1000000/'E Balans VL '!Z9*100)</f>
        <v>0.29694486842916168</v>
      </c>
      <c r="D27" s="237" t="s">
        <v>691</v>
      </c>
      <c r="F27" s="6"/>
    </row>
    <row r="28" spans="1:18">
      <c r="A28" s="171" t="s">
        <v>51</v>
      </c>
      <c r="B28" s="33">
        <f>IF(ISERROR(TER_handel_ele_kWh/1000),0,TER_handel_ele_kWh/1000)</f>
        <v>1655.539</v>
      </c>
      <c r="C28" s="39">
        <f>IF(ISERROR(B28*3.6/1000000/'E Balans VL '!Z13*100),0,B28*3.6/1000000/'E Balans VL '!Z13*100)</f>
        <v>4.8953131646170309E-2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355.5652</v>
      </c>
      <c r="C30" s="39">
        <f>IF(ISERROR(B30*3.6/1000000/'E Balans VL '!Z14*100),0,B30*3.6/1000000/'E Balans VL '!Z14*100)</f>
        <v>2.6890788264745478E-2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1147.9649999999999</v>
      </c>
      <c r="C32" s="39">
        <f>IF(ISERROR(B32*3.6/1000000/'E Balans VL '!Z8*100),0,B32*3.6/1000000/'E Balans VL '!Z8*100)</f>
        <v>9.6709298000601396E-3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615.87120000000004</v>
      </c>
      <c r="C5" s="17">
        <f>IF(ISERROR('Eigen informatie GS &amp; warmtenet'!B59),0,'Eigen informatie GS &amp; warmtenet'!B59)</f>
        <v>0</v>
      </c>
      <c r="D5" s="30">
        <f>SUM(D6:D15)</f>
        <v>418.14829949031599</v>
      </c>
      <c r="E5" s="17">
        <f>SUM(E6:E15)</f>
        <v>102.42955567369491</v>
      </c>
      <c r="F5" s="17">
        <f>SUM(F6:F15)</f>
        <v>323.27682965319309</v>
      </c>
      <c r="G5" s="18"/>
      <c r="H5" s="17"/>
      <c r="I5" s="17"/>
      <c r="J5" s="17">
        <f>SUM(J6:J15)</f>
        <v>1.0923075401453362</v>
      </c>
      <c r="K5" s="17"/>
      <c r="L5" s="17"/>
      <c r="M5" s="17"/>
      <c r="N5" s="17">
        <f>SUM(N6:N15)</f>
        <v>40.923689114043377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34.273900000000005</v>
      </c>
      <c r="C8" s="33"/>
      <c r="D8" s="37">
        <f>IF( ISERROR(IND_metaal_Gas_kWH/1000),0,IND_metaal_Gas_kWH/1000)*0.902</f>
        <v>0</v>
      </c>
      <c r="E8" s="33">
        <f>C30*'E Balans VL '!I18/100/3.6*1000000</f>
        <v>0.85775576091989159</v>
      </c>
      <c r="F8" s="33">
        <f>C30*'E Balans VL '!L18/100/3.6*1000000+C30*'E Balans VL '!N18/100/3.6*1000000</f>
        <v>10.741610747146407</v>
      </c>
      <c r="G8" s="34"/>
      <c r="H8" s="33"/>
      <c r="I8" s="33"/>
      <c r="J8" s="40">
        <f>C30*'E Balans VL '!D18/100/3.6*1000000+C30*'E Balans VL '!E18/100/3.6*1000000</f>
        <v>0</v>
      </c>
      <c r="K8" s="33"/>
      <c r="L8" s="33"/>
      <c r="M8" s="33"/>
      <c r="N8" s="33">
        <f>C30*'E Balans VL '!Y18/100/3.6*1000000</f>
        <v>0.86104931652687156</v>
      </c>
      <c r="O8" s="33"/>
      <c r="P8" s="33"/>
      <c r="R8" s="32"/>
    </row>
    <row r="9" spans="1:18">
      <c r="A9" s="6" t="s">
        <v>32</v>
      </c>
      <c r="B9" s="37">
        <f t="shared" si="0"/>
        <v>321.2346</v>
      </c>
      <c r="C9" s="33"/>
      <c r="D9" s="37">
        <f>IF( ISERROR(IND_andere_gas_kWh/1000),0,IND_andere_gas_kWh/1000)*0.902</f>
        <v>212.3734922938327</v>
      </c>
      <c r="E9" s="33">
        <f>C31*'E Balans VL '!I19/100/3.6*1000000</f>
        <v>88.326339545022222</v>
      </c>
      <c r="F9" s="33">
        <f>C31*'E Balans VL '!L19/100/3.6*1000000+C31*'E Balans VL '!N19/100/3.6*1000000</f>
        <v>253.18876363382219</v>
      </c>
      <c r="G9" s="34"/>
      <c r="H9" s="33"/>
      <c r="I9" s="33"/>
      <c r="J9" s="40">
        <f>C31*'E Balans VL '!D19/100/3.6*1000000+C31*'E Balans VL '!E19/100/3.6*1000000</f>
        <v>0</v>
      </c>
      <c r="K9" s="33"/>
      <c r="L9" s="33"/>
      <c r="M9" s="33"/>
      <c r="N9" s="33">
        <f>C31*'E Balans VL '!Y19/100/3.6*1000000</f>
        <v>25.878861803741334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260.36270000000002</v>
      </c>
      <c r="C15" s="33"/>
      <c r="D15" s="37">
        <f>IF( ISERROR(IND_rest_gas_kWh/1000),0,IND_rest_gas_kWh/1000)*0.902</f>
        <v>205.77480719648329</v>
      </c>
      <c r="E15" s="33">
        <f>C37*'E Balans VL '!I15/100/3.6*1000000</f>
        <v>13.2454603677528</v>
      </c>
      <c r="F15" s="33">
        <f>C37*'E Balans VL '!L15/100/3.6*1000000+C37*'E Balans VL '!N15/100/3.6*1000000</f>
        <v>59.346455272224517</v>
      </c>
      <c r="G15" s="34"/>
      <c r="H15" s="33"/>
      <c r="I15" s="33"/>
      <c r="J15" s="40">
        <f>C37*'E Balans VL '!D15/100/3.6*1000000+C37*'E Balans VL '!E15/100/3.6*1000000</f>
        <v>1.0923075401453362</v>
      </c>
      <c r="K15" s="33"/>
      <c r="L15" s="33"/>
      <c r="M15" s="33"/>
      <c r="N15" s="33">
        <f>C37*'E Balans VL '!Y15/100/3.6*1000000</f>
        <v>14.183777993775173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615.87120000000004</v>
      </c>
      <c r="C18" s="21">
        <f>C5+C16</f>
        <v>0</v>
      </c>
      <c r="D18" s="21">
        <f>MAX((D5+D16),0)</f>
        <v>418.14829949031599</v>
      </c>
      <c r="E18" s="21">
        <f>MAX((E5+E16),0)</f>
        <v>102.42955567369491</v>
      </c>
      <c r="F18" s="21">
        <f>MAX((F5+F16),0)</f>
        <v>323.27682965319309</v>
      </c>
      <c r="G18" s="21"/>
      <c r="H18" s="21"/>
      <c r="I18" s="21"/>
      <c r="J18" s="21">
        <f>MAX((J5+J16),0)</f>
        <v>1.0923075401453362</v>
      </c>
      <c r="K18" s="21"/>
      <c r="L18" s="21">
        <f>MAX((L5+L16),0)</f>
        <v>0</v>
      </c>
      <c r="M18" s="21"/>
      <c r="N18" s="21">
        <f>MAX((N5+N16),0)</f>
        <v>40.923689114043377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0.13682169065478431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84.264538809590803</v>
      </c>
      <c r="C22" s="23">
        <f ca="1">C18*C20</f>
        <v>0</v>
      </c>
      <c r="D22" s="23">
        <f>D18*D20</f>
        <v>84.465956497043834</v>
      </c>
      <c r="E22" s="23">
        <f>E18*E20</f>
        <v>23.251509137928746</v>
      </c>
      <c r="F22" s="23">
        <f>F18*F20</f>
        <v>86.314913517402559</v>
      </c>
      <c r="G22" s="23"/>
      <c r="H22" s="23"/>
      <c r="I22" s="23"/>
      <c r="J22" s="23">
        <f>J18*J20</f>
        <v>0.386676869211449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34.273900000000005</v>
      </c>
      <c r="C30" s="39">
        <f>IF(ISERROR(B30*3.6/1000000/'E Balans VL '!Z18*100),0,B30*3.6/1000000/'E Balans VL '!Z18*100)</f>
        <v>4.7972038096643754E-3</v>
      </c>
      <c r="D30" s="237" t="s">
        <v>691</v>
      </c>
    </row>
    <row r="31" spans="1:18">
      <c r="A31" s="6" t="s">
        <v>32</v>
      </c>
      <c r="B31" s="37">
        <f>IF( ISERROR(IND_ander_ele_kWh/1000),0,IND_ander_ele_kWh/1000)</f>
        <v>321.2346</v>
      </c>
      <c r="C31" s="39">
        <f>IF(ISERROR(B31*3.6/1000000/'E Balans VL '!Z19*100),0,B31*3.6/1000000/'E Balans VL '!Z19*100)</f>
        <v>1.4060386330344151E-2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260.36270000000002</v>
      </c>
      <c r="C37" s="39">
        <f>IF(ISERROR(B37*3.6/1000000/'E Balans VL '!Z15*100),0,B37*3.6/1000000/'E Balans VL '!Z15*100)</f>
        <v>1.9305448445194632E-3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716.63635999999997</v>
      </c>
      <c r="C5" s="17">
        <f>'Eigen informatie GS &amp; warmtenet'!B60</f>
        <v>0</v>
      </c>
      <c r="D5" s="30">
        <f>IF(ISERROR(SUM(LB_lb_gas_kWh,LB_rest_gas_kWh)/1000),0,SUM(LB_lb_gas_kWh,LB_rest_gas_kWh)/1000)*0.902</f>
        <v>494.50020815834841</v>
      </c>
      <c r="E5" s="17">
        <f>B17*'E Balans VL '!I25/3.6*1000000/100</f>
        <v>6.637786121218384</v>
      </c>
      <c r="F5" s="17">
        <f>B17*('E Balans VL '!L25/3.6*1000000+'E Balans VL '!N25/3.6*1000000)/100</f>
        <v>1818.2429644064819</v>
      </c>
      <c r="G5" s="18"/>
      <c r="H5" s="17"/>
      <c r="I5" s="17"/>
      <c r="J5" s="17">
        <f>('E Balans VL '!D25+'E Balans VL '!E25)/3.6*1000000*landbouw!B17/100</f>
        <v>109.86835167311962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716.63635999999997</v>
      </c>
      <c r="C8" s="21">
        <f>C5+C6</f>
        <v>0</v>
      </c>
      <c r="D8" s="21">
        <f>MAX((D5+D6),0)</f>
        <v>494.50020815834841</v>
      </c>
      <c r="E8" s="21">
        <f>MAX((E5+E6),0)</f>
        <v>6.637786121218384</v>
      </c>
      <c r="F8" s="21">
        <f>MAX((F5+F6),0)</f>
        <v>1818.2429644064819</v>
      </c>
      <c r="G8" s="21"/>
      <c r="H8" s="21"/>
      <c r="I8" s="21"/>
      <c r="J8" s="21">
        <f>MAX((J5+J6),0)</f>
        <v>109.86835167311962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0.13682169065478431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98.051398359890641</v>
      </c>
      <c r="C12" s="23">
        <f ca="1">C8*C10</f>
        <v>0</v>
      </c>
      <c r="D12" s="23">
        <f>D8*D10</f>
        <v>99.889042047986379</v>
      </c>
      <c r="E12" s="23">
        <f>E8*E10</f>
        <v>1.5067774495165731</v>
      </c>
      <c r="F12" s="23">
        <f>F8*F10</f>
        <v>485.47087149653066</v>
      </c>
      <c r="G12" s="23"/>
      <c r="H12" s="23"/>
      <c r="I12" s="23"/>
      <c r="J12" s="23">
        <f>J8*J10</f>
        <v>38.893396492284346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0.10189049507467154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232.70733003010466</v>
      </c>
      <c r="C26" s="247">
        <f>B26*'GWP N2O_CH4'!B5</f>
        <v>4886.8539306321982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35.944147013179624</v>
      </c>
      <c r="C27" s="247">
        <f>B27*'GWP N2O_CH4'!B5</f>
        <v>754.82708727677209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3.3284176379282697</v>
      </c>
      <c r="C28" s="247">
        <f>B28*'GWP N2O_CH4'!B4</f>
        <v>1031.8094677577635</v>
      </c>
      <c r="D28" s="50"/>
    </row>
    <row r="29" spans="1:4">
      <c r="A29" s="41" t="s">
        <v>276</v>
      </c>
      <c r="B29" s="247">
        <f>B34*'ha_N2O bodem landbouw'!B4</f>
        <v>12.332663455959011</v>
      </c>
      <c r="C29" s="247">
        <f>B29*'GWP N2O_CH4'!B4</f>
        <v>3823.1256713472935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2.7659991448118586E-3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3.644982479440325E-5</v>
      </c>
      <c r="C5" s="438" t="s">
        <v>210</v>
      </c>
      <c r="D5" s="423">
        <f>SUM(D6:D11)</f>
        <v>7.1129656701869576E-5</v>
      </c>
      <c r="E5" s="423">
        <f>SUM(E6:E11)</f>
        <v>7.793656904364287E-4</v>
      </c>
      <c r="F5" s="436" t="s">
        <v>210</v>
      </c>
      <c r="G5" s="423">
        <f>SUM(G6:G11)</f>
        <v>0.32175959572137947</v>
      </c>
      <c r="H5" s="423">
        <f>SUM(H6:H11)</f>
        <v>4.4375057254999614E-2</v>
      </c>
      <c r="I5" s="438" t="s">
        <v>210</v>
      </c>
      <c r="J5" s="438" t="s">
        <v>210</v>
      </c>
      <c r="K5" s="438" t="s">
        <v>210</v>
      </c>
      <c r="L5" s="438" t="s">
        <v>210</v>
      </c>
      <c r="M5" s="423">
        <f>SUM(M6:M11)</f>
        <v>2.0008270889400808E-2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7.3433177663028498E-6</v>
      </c>
      <c r="C6" s="424"/>
      <c r="D6" s="866">
        <f>vkm_GW_PW*SUMIFS(TableVerdeelsleutelVkm[CNG],TableVerdeelsleutelVkm[Voertuigtype],"Lichte voertuigen")*SUMIFS(TableECFTransport[EnergieConsumptieFactor (PJ per km)],TableECFTransport[Index],CONCATENATE($A6,"_CNG_CNG"))</f>
        <v>1.281397558783604E-5</v>
      </c>
      <c r="E6" s="866">
        <f>vkm_GW_PW*SUMIFS(TableVerdeelsleutelVkm[LPG],TableVerdeelsleutelVkm[Voertuigtype],"Lichte voertuigen")*SUMIFS(TableECFTransport[EnergieConsumptieFactor (PJ per km)],TableECFTransport[Index],CONCATENATE($A6,"_LPG_LPG"))</f>
        <v>1.2410965256277922E-4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2.9167903898732195E-2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7.847204807004092E-3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1.9304342612515876E-3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1.4962480885611466E-2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2.9017006420892134E-7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8.6749081519212718E-4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5.6403625287297501E-6</v>
      </c>
      <c r="C8" s="424"/>
      <c r="D8" s="426">
        <f>vkm_NGW_PW*SUMIFS(TableVerdeelsleutelVkm[CNG],TableVerdeelsleutelVkm[Voertuigtype],"Lichte voertuigen")*SUMIFS(TableECFTransport[EnergieConsumptieFactor (PJ per km)],TableECFTransport[Index],CONCATENATE($A8,"_CNG_CNG"))</f>
        <v>1.6853694169851998E-5</v>
      </c>
      <c r="E8" s="426">
        <f>vkm_NGW_PW*SUMIFS(TableVerdeelsleutelVkm[LPG],TableVerdeelsleutelVkm[Voertuigtype],"Lichte voertuigen")*SUMIFS(TableECFTransport[EnergieConsumptieFactor (PJ per km)],TableECFTransport[Index],CONCATENATE($A8,"_LPG_LPG"))</f>
        <v>1.5447937691242142E-4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3.4078429198383074E-2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9.9654662715430997E-3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2.279745598519838E-3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2.8835982347646498E-3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6.9269179806558521E-8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1.6718491365583661E-4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2.3466144499370648E-5</v>
      </c>
      <c r="C10" s="424"/>
      <c r="D10" s="426">
        <f>vkm_SW_PW*SUMIFS(TableVerdeelsleutelVkm[CNG],TableVerdeelsleutelVkm[Voertuigtype],"Lichte voertuigen")*SUMIFS(TableECFTransport[EnergieConsumptieFactor (PJ per km)],TableECFTransport[Index],CONCATENATE($A10,"_CNG_CNG"))</f>
        <v>4.1461986944181547E-5</v>
      </c>
      <c r="E10" s="426">
        <f>vkm_SW_PW*SUMIFS(TableVerdeelsleutelVkm[LPG],TableVerdeelsleutelVkm[Voertuigtype],"Lichte voertuigen")*SUMIFS(TableECFTransport[EnergieConsumptieFactor (PJ per km)],TableECFTransport[Index],CONCATENATE($A10,"_LPG_LPG"))</f>
        <v>5.0077666096122811E-4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0.1058246664378904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2.6559248197597019E-2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6.9455460199925999E-3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0.13484251706599767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2.778539611388966E-6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7.8178692807888174E-3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10.12495133177868</v>
      </c>
      <c r="C14" s="21"/>
      <c r="D14" s="21">
        <f t="shared" ref="D14:M14" si="0">((D5)*10^9/3600)+D12</f>
        <v>19.758237972741551</v>
      </c>
      <c r="E14" s="21">
        <f t="shared" si="0"/>
        <v>216.49046956567463</v>
      </c>
      <c r="F14" s="21"/>
      <c r="G14" s="21">
        <f t="shared" si="0"/>
        <v>89377.665478160954</v>
      </c>
      <c r="H14" s="21">
        <f t="shared" si="0"/>
        <v>12326.404793055448</v>
      </c>
      <c r="I14" s="21"/>
      <c r="J14" s="21"/>
      <c r="K14" s="21"/>
      <c r="L14" s="21"/>
      <c r="M14" s="21">
        <f t="shared" si="0"/>
        <v>5557.8530248335574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0.13682169065478431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1.3853129590113691</v>
      </c>
      <c r="C18" s="23"/>
      <c r="D18" s="23">
        <f t="shared" ref="D18:M18" si="1">D14*D16</f>
        <v>3.9911640704937934</v>
      </c>
      <c r="E18" s="23">
        <f t="shared" si="1"/>
        <v>49.143336591408143</v>
      </c>
      <c r="F18" s="23"/>
      <c r="G18" s="23">
        <f t="shared" si="1"/>
        <v>23863.836682668974</v>
      </c>
      <c r="H18" s="23">
        <f t="shared" si="1"/>
        <v>3069.2747934708063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2.7138303892137918E-3</v>
      </c>
      <c r="H50" s="319">
        <f t="shared" si="2"/>
        <v>0</v>
      </c>
      <c r="I50" s="319">
        <f t="shared" si="2"/>
        <v>0</v>
      </c>
      <c r="J50" s="319">
        <f t="shared" si="2"/>
        <v>0</v>
      </c>
      <c r="K50" s="319">
        <f t="shared" si="2"/>
        <v>0</v>
      </c>
      <c r="L50" s="319">
        <f t="shared" si="2"/>
        <v>0</v>
      </c>
      <c r="M50" s="319">
        <f t="shared" si="2"/>
        <v>1.5511428494049441E-4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2.7138303892137918E-3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1.5511428494049441E-4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753.84177478160882</v>
      </c>
      <c r="H54" s="21">
        <f t="shared" si="3"/>
        <v>0</v>
      </c>
      <c r="I54" s="21">
        <f t="shared" si="3"/>
        <v>0</v>
      </c>
      <c r="J54" s="21">
        <f t="shared" si="3"/>
        <v>0</v>
      </c>
      <c r="K54" s="21">
        <f t="shared" si="3"/>
        <v>0</v>
      </c>
      <c r="L54" s="21">
        <f t="shared" si="3"/>
        <v>0</v>
      </c>
      <c r="M54" s="21">
        <f t="shared" si="3"/>
        <v>43.087301372359555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0.13682169065478431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201.27575386668957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8759.7031398412892</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1765.6626152463907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10525.36575508768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2020-06-20T16:10:33Z</dcterms:modified>
</cp:coreProperties>
</file>