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I9" i="18" s="1"/>
  <c r="S36" i="18"/>
  <c r="E9" i="18" s="1"/>
  <c r="R36" i="18"/>
  <c r="Q36" i="18"/>
  <c r="P36" i="18"/>
  <c r="C9" i="18"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26" i="14"/>
  <c r="P26" i="14"/>
  <c r="N26" i="14"/>
  <c r="L26" i="14"/>
  <c r="J26" i="14"/>
  <c r="I26" i="14"/>
  <c r="H26" i="14"/>
  <c r="O22" i="14"/>
  <c r="K22" i="14"/>
  <c r="J22" i="14"/>
  <c r="G22" i="14"/>
  <c r="L16" i="14"/>
  <c r="H16" i="14"/>
  <c r="R12" i="14"/>
  <c r="N16" i="14"/>
  <c r="J16" i="14"/>
  <c r="K10" i="59" l="1"/>
  <c r="D14" i="48"/>
  <c r="D32" i="48" s="1"/>
  <c r="D13" i="15"/>
  <c r="L6" i="17"/>
  <c r="F20" i="18"/>
  <c r="N6" i="17"/>
  <c r="E10" i="59"/>
  <c r="B45" i="18"/>
  <c r="C49" i="18" s="1"/>
  <c r="C6" i="17"/>
  <c r="J9" i="18"/>
  <c r="J77" i="14" s="1"/>
  <c r="J9" i="59" s="1"/>
  <c r="K20" i="18"/>
  <c r="L10" i="59"/>
  <c r="B16" i="16"/>
  <c r="C45" i="18"/>
  <c r="E48"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I49" i="18"/>
  <c r="H17" i="18"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Q14" i="48" l="1"/>
  <c r="D49" i="18"/>
  <c r="H49" i="18"/>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J17" i="18"/>
  <c r="J87" i="14" s="1"/>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D4" i="48"/>
  <c r="D22" i="48" s="1"/>
  <c r="E11" i="14"/>
  <c r="P4" i="48"/>
  <c r="P22" i="48" s="1"/>
  <c r="Q11" i="14"/>
  <c r="J15" i="16"/>
  <c r="B7" i="48"/>
  <c r="C24" i="14"/>
  <c r="C26" i="14" s="1"/>
  <c r="O4" i="48"/>
  <c r="O22" i="48" s="1"/>
  <c r="P11" i="14"/>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O22" i="16" l="1"/>
  <c r="P43" i="14" s="1"/>
  <c r="O8" i="48"/>
  <c r="O26" i="48" s="1"/>
  <c r="P13" i="14"/>
  <c r="F24" i="14"/>
  <c r="F26" i="14" s="1"/>
  <c r="E7" i="48"/>
  <c r="E25" i="48" s="1"/>
  <c r="Q63" i="14"/>
  <c r="P46" i="14"/>
  <c r="P61" i="14" s="1"/>
  <c r="P63" i="14" s="1"/>
  <c r="P16" i="14"/>
  <c r="P27" i="14" s="1"/>
  <c r="O23" i="48"/>
  <c r="O33" i="48" s="1"/>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F10" i="14" l="1"/>
  <c r="E5" i="48"/>
  <c r="E23" i="48" s="1"/>
  <c r="N22" i="14"/>
  <c r="N27" i="14" s="1"/>
  <c r="N52" i="14"/>
  <c r="N61" i="14" s="1"/>
  <c r="N63" i="14" s="1"/>
  <c r="K10" i="14"/>
  <c r="J5" i="48"/>
  <c r="J23" i="48" s="1"/>
  <c r="O15" i="48"/>
  <c r="J22" i="48"/>
  <c r="R11" i="14"/>
  <c r="E22" i="48"/>
  <c r="Q4" i="48"/>
  <c r="R19" i="14"/>
  <c r="G28" i="48"/>
  <c r="Q10" i="48"/>
  <c r="G15" i="48"/>
  <c r="G27" i="48"/>
  <c r="M27" i="48"/>
  <c r="M33" i="48" s="1"/>
  <c r="M15" i="48"/>
  <c r="H9" i="48"/>
  <c r="Q9" i="48" s="1"/>
  <c r="I20" i="14"/>
  <c r="L25" i="48"/>
  <c r="Q7" i="48"/>
  <c r="M26" i="14"/>
  <c r="R24" i="14"/>
  <c r="R26" i="14" s="1"/>
  <c r="E20" i="15"/>
  <c r="F40" i="14" s="1"/>
  <c r="F46" i="14" s="1"/>
  <c r="F61" i="14" s="1"/>
  <c r="F18" i="16"/>
  <c r="F22" i="16" s="1"/>
  <c r="G43" i="14" s="1"/>
  <c r="J18" i="16"/>
  <c r="E18" i="16"/>
  <c r="J20" i="15"/>
  <c r="K40" i="14" s="1"/>
  <c r="N18" i="16"/>
  <c r="N22" i="16" s="1"/>
  <c r="O43" i="14" s="1"/>
  <c r="G18" i="22"/>
  <c r="H50" i="14" s="1"/>
  <c r="H52" i="14" s="1"/>
  <c r="H61" i="14" s="1"/>
  <c r="H63" i="14" s="1"/>
  <c r="E22" i="16"/>
  <c r="F43" i="14" s="1"/>
  <c r="H18" i="22"/>
  <c r="I50" i="14" s="1"/>
  <c r="I52" i="14" s="1"/>
  <c r="I61" i="14" s="1"/>
  <c r="J22" i="16" l="1"/>
  <c r="K43" i="14" s="1"/>
  <c r="K46" i="14" s="1"/>
  <c r="K61" i="14" s="1"/>
  <c r="K13" i="14"/>
  <c r="K16" i="14" s="1"/>
  <c r="K27" i="14" s="1"/>
  <c r="J8" i="48"/>
  <c r="E8" i="48"/>
  <c r="E26" i="48" s="1"/>
  <c r="E33" i="48" s="1"/>
  <c r="F13" i="14"/>
  <c r="F16" i="14" s="1"/>
  <c r="F27" i="14" s="1"/>
  <c r="F63" i="14" s="1"/>
  <c r="G33" i="48"/>
  <c r="I22" i="14"/>
  <c r="I27" i="14" s="1"/>
  <c r="I63" i="14" s="1"/>
  <c r="R20" i="14"/>
  <c r="R22" i="14" s="1"/>
  <c r="H27" i="48"/>
  <c r="H33" i="48" s="1"/>
  <c r="H15" i="48"/>
  <c r="O13" i="14"/>
  <c r="N8" i="48"/>
  <c r="N26" i="48" s="1"/>
  <c r="F8" i="48"/>
  <c r="G13" i="14"/>
  <c r="K63" i="14" l="1"/>
  <c r="E15" i="48"/>
  <c r="J26" i="48"/>
  <c r="J33" i="48" s="1"/>
  <c r="J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<sst xmlns="http://schemas.openxmlformats.org/spreadsheetml/2006/main" count="2434" uniqueCount="913">
  <si>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</si>
  <si>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</si>
  <si>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</si>
  <si>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</si>
  <si>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</si>
  <si>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</si>
  <si>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</si>
  <si>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</si>
  <si>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</si>
  <si>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</si>
  <si>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</si>
  <si>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</si>
  <si>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</si>
  <si>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</si>
  <si>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</si>
  <si>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</si>
  <si>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</si>
  <si>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</si>
  <si>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</si>
  <si>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</si>
  <si>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</si>
  <si>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</si>
  <si>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</si>
  <si>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</si>
  <si>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</si>
  <si>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</si>
  <si>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</si>
  <si>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</si>
  <si>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</si>
  <si>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</si>
  <si>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</si>
  <si>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</si>
  <si>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</si>
  <si>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</si>
  <si>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</si>
  <si>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</si>
  <si>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</si>
  <si>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</si>
  <si>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</si>
  <si>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</si>
  <si>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</si>
  <si>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</si>
  <si>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</si>
  <si>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</si>
  <si>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</si>
  <si>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</si>
  <si>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</si>
  <si>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</si>
  <si>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</si>
  <si>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</si>
  <si>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</si>
  <si>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</si>
  <si>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</si>
  <si>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</si>
  <si>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</si>
  <si>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</si>
  <si>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</si>
  <si>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</si>
  <si>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</si>
  <si>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</si>
  <si>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</si>
  <si>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</si>
  <si>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</si>
  <si>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</si>
  <si>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</si>
  <si>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</si>
  <si>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</si>
  <si>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</si>
  <si>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</si>
  <si>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</si>
  <si>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</si>
  <si>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</si>
  <si>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</si>
  <si>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</si>
  <si>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</si>
  <si>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</si>
  <si>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</si>
  <si>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</si>
  <si>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</si>
  <si>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</si>
  <si>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</si>
  <si>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</si>
  <si>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</si>
  <si>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</si>
  <si>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</si>
  <si>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</si>
  <si>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</si>
  <si>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</si>
  <si>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</si>
  <si>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</si>
  <si>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</si>
  <si>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</si>
  <si>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</si>
  <si>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</si>
  <si>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</si>
  <si>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</si>
  <si>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</si>
  <si>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</si>
  <si>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</si>
  <si>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</si>
  <si>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</si>
  <si>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</si>
  <si>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</si>
  <si>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</si>
  <si>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</si>
  <si>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</si>
  <si>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</si>
  <si>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</si>
  <si>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</si>
  <si>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</si>
  <si>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</si>
  <si>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</si>
  <si>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</si>
  <si>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</si>
  <si>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</si>
  <si>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</si>
  <si>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</si>
  <si>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</si>
  <si>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</si>
  <si>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</si>
  <si>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</si>
  <si>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</si>
  <si>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</si>
  <si>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</si>
  <si>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</si>
  <si>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</si>
  <si>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</si>
  <si>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</si>
  <si>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</si>
  <si>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</si>
  <si>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</si>
  <si>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</si>
  <si>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</si>
  <si>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</si>
  <si>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</si>
  <si>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</si>
  <si>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</si>
  <si>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</si>
  <si>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</si>
  <si>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</si>
  <si>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</si>
  <si>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</si>
  <si>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</si>
  <si>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</si>
  <si>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</si>
  <si>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</si>
  <si>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</si>
  <si>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</si>
  <si>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</si>
  <si>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</si>
  <si>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</si>
  <si>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</si>
  <si>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</si>
  <si>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</si>
  <si>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</si>
  <si>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</si>
  <si>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</si>
  <si>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</si>
  <si>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</si>
  <si>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</si>
  <si>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</si>
  <si>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</si>
  <si>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</si>
  <si>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</si>
  <si>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</si>
  <si>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</si>
  <si>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</si>
  <si>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</si>
  <si>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</si>
  <si>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</si>
  <si>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</si>
  <si>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</si>
  <si>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</si>
  <si>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</si>
  <si>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</si>
  <si>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</si>
  <si>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</si>
  <si>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</si>
  <si>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</si>
  <si>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</si>
  <si>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</si>
  <si>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</si>
  <si>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</si>
  <si>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</si>
  <si>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</si>
  <si>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</si>
  <si>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</si>
  <si>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</si>
  <si>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</si>
  <si>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</si>
  <si>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</si>
  <si>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</si>
  <si>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</si>
  <si>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</si>
  <si>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</si>
  <si>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</si>
  <si>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</si>
  <si>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</si>
  <si>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</si>
  <si>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</si>
  <si>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</si>
  <si>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</si>
  <si>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</si>
  <si>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</si>
  <si>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</si>
  <si>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</si>
  <si>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</si>
  <si>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</si>
  <si>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</si>
  <si>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</si>
  <si>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</si>
  <si>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</si>
  <si>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</si>
  <si>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</si>
  <si>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</si>
  <si>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</si>
  <si>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</si>
  <si>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</si>
  <si>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</si>
  <si>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</si>
  <si>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</si>
  <si>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</si>
  <si>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</si>
  <si>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</si>
  <si>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</si>
  <si>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</si>
  <si>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</si>
  <si>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</si>
  <si>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</si>
  <si>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</si>
  <si>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</si>
  <si>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</si>
  <si>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</si>
  <si>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</si>
  <si>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</si>
  <si>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</si>
  <si>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</si>
  <si>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</si>
  <si>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</si>
  <si>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</si>
  <si>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</si>
  <si>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</si>
  <si>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</si>
  <si>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</si>
  <si>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</si>
  <si>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</si>
  <si>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</si>
  <si>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</si>
  <si>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</si>
  <si>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</si>
  <si>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</si>
  <si>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</si>
  <si>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</si>
  <si>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</si>
  <si>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</si>
  <si>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</si>
  <si>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</si>
  <si>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</si>
  <si>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</si>
  <si>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</si>
  <si>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</si>
  <si>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</si>
  <si>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</si>
  <si>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</si>
  <si>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</si>
  <si>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</si>
  <si>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</si>
  <si>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</si>
  <si>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</si>
  <si>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</si>
  <si>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</si>
  <si>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</si>
  <si>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</si>
  <si>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</si>
  <si>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</si>
  <si>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</si>
  <si>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</si>
  <si>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</si>
  <si>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</si>
  <si>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</si>
  <si>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</si>
  <si>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</si>
  <si>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</si>
  <si>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</si>
  <si>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</si>
  <si>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</si>
  <si>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</si>
  <si>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</si>
  <si>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</si>
  <si>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</si>
  <si>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</si>
  <si>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</si>
  <si>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</si>
  <si>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</si>
  <si>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</si>
  <si>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</si>
  <si>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</si>
  <si>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</si>
  <si>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</si>
  <si>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</si>
  <si>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</si>
  <si>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</si>
  <si>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</si>
  <si>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</si>
  <si>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</si>
  <si>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</si>
  <si>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</si>
  <si>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</si>
  <si>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</si>
  <si>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</si>
  <si>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</si>
  <si>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</si>
  <si>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</si>
  <si>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</si>
  <si>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</si>
  <si>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</si>
  <si>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</si>
  <si>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</si>
  <si>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</si>
  <si>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</si>
  <si>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</si>
  <si>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</si>
  <si>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</si>
  <si>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</si>
  <si>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</si>
  <si>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</si>
  <si>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</si>
  <si>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</si>
  <si>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</si>
  <si>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</si>
  <si>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</si>
  <si>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</si>
  <si>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</si>
  <si>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</si>
  <si>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</si>
  <si>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</si>
  <si>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</si>
  <si>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</si>
  <si>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</si>
  <si>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</si>
  <si>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</si>
  <si>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</si>
  <si>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</si>
  <si>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</si>
  <si>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</si>
  <si>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</si>
  <si>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</si>
  <si>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</si>
  <si>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</si>
  <si>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</si>
  <si>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</si>
  <si>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</si>
  <si>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</si>
  <si>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</si>
  <si>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</si>
  <si>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</si>
  <si>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</si>
  <si>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</si>
  <si>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</si>
  <si>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</si>
  <si>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</si>
  <si>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</si>
  <si>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</si>
  <si>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</si>
  <si>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</si>
  <si>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</si>
  <si>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</si>
  <si>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</si>
  <si>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</si>
  <si>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</si>
  <si>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</si>
  <si>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</si>
  <si>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</si>
  <si>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</si>
  <si>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</si>
  <si>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</si>
  <si>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</si>
  <si>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</si>
  <si>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</si>
  <si>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</si>
  <si>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</si>
  <si>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</si>
  <si>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</si>
  <si>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</si>
  <si>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</si>
  <si>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</si>
  <si>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</si>
  <si>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</si>
  <si>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</si>
  <si>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</si>
  <si>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</si>
  <si>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</si>
  <si>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</si>
  <si>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</si>
  <si>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</si>
  <si>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</si>
  <si>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</si>
  <si>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</si>
  <si>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</si>
  <si>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</si>
  <si>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</si>
  <si>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</si>
  <si>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</si>
  <si>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</si>
  <si>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</si>
  <si>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</si>
  <si>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</si>
  <si>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</si>
  <si>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</si>
  <si>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</si>
  <si>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</si>
  <si>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</si>
  <si>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</si>
  <si>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</si>
  <si>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</si>
  <si>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</si>
  <si>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</si>
  <si>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</si>
  <si>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</si>
  <si>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</si>
  <si>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</si>
  <si>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</si>
  <si>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</si>
  <si>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</si>
  <si>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</si>
  <si>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</si>
  <si>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</si>
  <si>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</si>
  <si>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</si>
  <si>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</si>
  <si>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</si>
  <si>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</si>
  <si>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</si>
  <si>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</si>
  <si>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</si>
  <si>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</si>
  <si>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</si>
  <si>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</si>
  <si>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</si>
  <si>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</si>
  <si>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</si>
  <si>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</si>
  <si>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</si>
  <si>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</si>
  <si>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</si>
  <si>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</si>
  <si>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</si>
  <si>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</si>
  <si>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</si>
  <si>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</si>
  <si>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</si>
  <si>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</si>
  <si>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</si>
  <si>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</si>
  <si>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</si>
  <si>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</si>
  <si>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</si>
  <si>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</si>
  <si>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</si>
  <si>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</si>
  <si>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</si>
  <si>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</si>
  <si>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</si>
  <si>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</si>
  <si>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</si>
  <si>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</si>
  <si>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</si>
  <si>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</si>
  <si>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</si>
  <si>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</si>
  <si>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</si>
  <si>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</si>
  <si>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</si>
  <si>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</si>
  <si>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</si>
  <si>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</si>
  <si>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</si>
  <si>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</si>
  <si>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</si>
  <si>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</si>
  <si>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</si>
  <si>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</si>
  <si>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</si>
  <si>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</si>
  <si>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</si>
  <si>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</si>
  <si>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</si>
  <si>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</si>
  <si>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</si>
  <si>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</si>
  <si>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</si>
  <si>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</si>
  <si>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</si>
  <si>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</si>
  <si>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</si>
  <si>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</si>
  <si>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</si>
  <si>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</si>
  <si>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</si>
  <si>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</si>
  <si>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</si>
  <si>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</si>
  <si>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</si>
  <si>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</si>
  <si>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</si>
  <si>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</si>
  <si>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</si>
  <si>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</si>
  <si>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</si>
  <si>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</si>
  <si>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</si>
  <si>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</si>
  <si>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</si>
  <si>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</si>
  <si>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</si>
  <si>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</si>
  <si>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</si>
  <si>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</si>
  <si>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</si>
  <si>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</si>
  <si>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</si>
  <si>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</si>
  <si>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</si>
  <si>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</si>
  <si>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</si>
  <si>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</si>
  <si>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</si>
  <si>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</si>
  <si>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</si>
  <si>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</si>
  <si>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</si>
  <si>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</si>
  <si>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</si>
  <si>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</si>
  <si>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</si>
  <si>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</si>
  <si>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</si>
  <si>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</si>
  <si>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</si>
  <si>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</si>
  <si>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</si>
  <si>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</si>
  <si>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</si>
  <si>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</si>
  <si>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</si>
  <si>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</si>
  <si>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</si>
  <si>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</si>
  <si>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</si>
  <si>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</si>
  <si>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</si>
  <si>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</si>
  <si>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</si>
  <si>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</si>
  <si>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</si>
  <si>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</si>
  <si>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</si>
  <si>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</si>
  <si>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</si>
  <si>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</si>
  <si>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</si>
  <si>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</si>
  <si>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</si>
  <si>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</si>
  <si>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</si>
  <si>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</si>
  <si>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</si>
  <si>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</si>
  <si>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</si>
  <si>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</si>
  <si>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</si>
  <si>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</si>
  <si>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</si>
  <si>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</si>
  <si>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</si>
  <si>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</si>
  <si>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</si>
  <si>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</si>
  <si>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</si>
  <si>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</si>
  <si>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</si>
  <si>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</si>
  <si>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</si>
  <si>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</si>
  <si>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</si>
  <si>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</si>
  <si>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</si>
  <si>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</si>
  <si>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</si>
  <si>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</si>
  <si>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</si>
  <si>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</si>
  <si>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</si>
  <si>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</si>
  <si>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</si>
  <si>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</si>
  <si>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</si>
  <si>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</si>
  <si>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</si>
  <si>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</si>
  <si>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</si>
  <si>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</si>
  <si>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</si>
  <si>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</si>
  <si>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</si>
  <si>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</si>
  <si>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</si>
  <si>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</si>
  <si>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</si>
  <si>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</si>
  <si>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</si>
  <si>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</si>
  <si>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</si>
  <si>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</si>
  <si>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</si>
  <si>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</si>
  <si>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</si>
  <si>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</si>
  <si>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</si>
  <si>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</si>
  <si>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</si>
  <si>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</si>
  <si>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</si>
  <si>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</si>
  <si>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</si>
  <si>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</si>
  <si>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</si>
  <si>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</si>
  <si>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</si>
  <si>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</si>
  <si>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</si>
  <si>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</si>
  <si>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</si>
  <si>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</si>
  <si>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</si>
  <si>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</si>
  <si>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</si>
  <si>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</si>
  <si>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</si>
  <si>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</si>
  <si>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</si>
  <si>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</si>
  <si>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</si>
  <si>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</si>
  <si>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</si>
  <si>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</si>
  <si>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</si>
  <si>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</si>
  <si>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</si>
  <si>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</si>
  <si>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</si>
  <si>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</si>
  <si>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</si>
  <si>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</si>
  <si>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</si>
  <si>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</si>
  <si>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</si>
  <si>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</si>
  <si>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</si>
  <si>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</si>
  <si>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</si>
  <si>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</si>
  <si>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</si>
  <si>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</si>
  <si>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</si>
  <si>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</si>
  <si>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</si>
  <si>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</si>
  <si>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</si>
  <si>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</si>
  <si>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</si>
  <si>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</si>
  <si>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</si>
  <si>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</si>
  <si>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</si>
  <si>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</si>
  <si>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</si>
  <si>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</si>
  <si>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</si>
  <si>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</si>
  <si>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</si>
  <si>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</si>
  <si>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</si>
  <si>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</si>
  <si>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</si>
  <si>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</si>
  <si>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</si>
  <si>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</si>
  <si>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</si>
  <si>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</si>
  <si>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</si>
  <si>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</si>
  <si>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</si>
  <si>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</si>
  <si>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</si>
  <si>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</si>
  <si>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</si>
  <si>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</si>
  <si>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</si>
  <si>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</si>
  <si>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</si>
  <si>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</si>
  <si>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</si>
  <si>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</si>
  <si>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</si>
  <si>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</si>
  <si>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</si>
  <si>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</si>
  <si>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</si>
  <si>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</si>
  <si>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</si>
  <si>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</si>
  <si>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</si>
  <si>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</si>
  <si>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</si>
  <si>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</si>
  <si>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</si>
  <si>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</si>
  <si>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</si>
  <si>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</si>
  <si>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</si>
  <si>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</si>
  <si>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</si>
  <si>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</si>
  <si>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</si>
  <si>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</si>
  <si>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</si>
  <si>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</si>
  <si>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</si>
  <si>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</si>
  <si>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</si>
  <si>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</si>
  <si>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</si>
  <si>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</si>
  <si>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</si>
  <si>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</si>
  <si>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</si>
  <si>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</si>
  <si>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</si>
  <si>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</si>
  <si>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</si>
  <si>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</si>
  <si>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</si>
  <si>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</si>
  <si>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</si>
  <si>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</si>
  <si>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</si>
  <si>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</si>
  <si>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</si>
  <si>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</si>
  <si>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</si>
  <si>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</si>
  <si>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</si>
  <si>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</si>
  <si>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</si>
  <si>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</si>
  <si>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</si>
  <si>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</si>
  <si>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</si>
  <si>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</si>
  <si>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</si>
  <si>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</si>
  <si>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</si>
  <si>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</si>
  <si>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</si>
  <si>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</si>
  <si>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</si>
  <si>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</si>
  <si>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</si>
  <si>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</si>
  <si>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</si>
  <si>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</si>
  <si>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</si>
  <si>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</si>
  <si>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</si>
  <si>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</si>
  <si>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</si>
  <si>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</si>
  <si>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</si>
  <si>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</si>
  <si>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</si>
  <si>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</si>
  <si>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</si>
  <si>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</si>
  <si>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</si>
  <si>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</si>
  <si>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</si>
  <si>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</si>
  <si>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</si>
  <si>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</si>
  <si>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</si>
  <si>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</si>
  <si>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</si>
  <si>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</si>
  <si>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</si>
  <si>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</si>
  <si>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</si>
  <si>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</si>
  <si>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</si>
  <si>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</si>
  <si>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</si>
  <si>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</si>
  <si>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</si>
  <si>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</si>
  <si>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</si>
  <si>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</si>
  <si>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</si>
  <si>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</si>
  <si>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</si>
  <si>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</si>
  <si>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</si>
  <si>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</si>
  <si>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</si>
  <si>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</si>
  <si>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</si>
  <si>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</si>
  <si>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</si>
  <si>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</si>
  <si>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</si>
  <si>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</si>
  <si>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</si>
  <si>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</si>
  <si>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</si>
  <si>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</si>
  <si>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</si>
  <si>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</si>
  <si>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</si>
  <si>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</si>
  <si>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</si>
  <si>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</si>
  <si>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</si>
  <si>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</si>
  <si>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</si>
  <si>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</si>
  <si>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</si>
  <si>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</si>
  <si>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</si>
  <si>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</si>
  <si>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</si>
  <si>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</si>
  <si>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</si>
  <si>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</si>
  <si>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</si>
  <si>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</si>
  <si>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</si>
  <si>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</si>
  <si>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</si>
  <si>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</si>
  <si>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</si>
  <si>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</si>
  <si>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</si>
  <si>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</si>
  <si>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</si>
  <si>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</si>
  <si>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</si>
  <si>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</si>
  <si>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</si>
  <si>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</si>
  <si>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</si>
  <si>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</si>
  <si>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</si>
  <si>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</si>
  <si>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</si>
  <si>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</si>
  <si>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</si>
  <si>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</si>
  <si>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</si>
  <si>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</si>
  <si>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</si>
  <si>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</si>
  <si>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</si>
  <si>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</si>
  <si>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</si>
  <si>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</si>
  <si>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</si>
  <si>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</si>
  <si>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</si>
  <si>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</si>
  <si>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</si>
  <si>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</si>
  <si>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</si>
  <si>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</si>
  <si>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</si>
  <si>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</si>
  <si>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</si>
  <si>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</si>
  <si>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</si>
  <si>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</si>
  <si>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</si>
  <si>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</si>
  <si>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</si>
  <si>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</si>
  <si>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</si>
  <si>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</si>
  <si>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</si>
  <si>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</si>
  <si>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</si>
  <si>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</si>
  <si>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</si>
  <si>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</si>
  <si>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</si>
  <si>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</si>
  <si>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</si>
  <si>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</si>
  <si>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</si>
  <si>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</si>
  <si>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</si>
  <si>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44040</t>
  </si>
  <si>
    <t>MELLE</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</si>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</sst>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81397.881337289524</c:v>
                </c:pt>
                <c:pt idx="1">
                  <c:v>38033.923606152617</c:v>
                </c:pt>
                <c:pt idx="2">
                  <c:v>872.74199999999996</c:v>
                </c:pt>
                <c:pt idx="3">
                  <c:v>3393.0537743326172</c:v>
                </c:pt>
                <c:pt idx="4">
                  <c:v>19821.907907964403</c:v>
                </c:pt>
                <c:pt idx="5">
                  <c:v>247645.7625906645</c:v>
                </c:pt>
                <c:pt idx="6">
                  <c:v>1419.0527528490372</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81397.881337289524</c:v>
                </c:pt>
                <c:pt idx="1">
                  <c:v>38033.923606152617</c:v>
                </c:pt>
                <c:pt idx="2">
                  <c:v>872.74199999999996</c:v>
                </c:pt>
                <c:pt idx="3">
                  <c:v>3393.0537743326172</c:v>
                </c:pt>
                <c:pt idx="4">
                  <c:v>19821.907907964403</c:v>
                </c:pt>
                <c:pt idx="5">
                  <c:v>247645.7625906645</c:v>
                </c:pt>
                <c:pt idx="6">
                  <c:v>1419.0527528490372</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14240.464908391938</c:v>
                </c:pt>
                <c:pt idx="2">
                  <c:v>6766.1776372573058</c:v>
                </c:pt>
                <c:pt idx="3">
                  <c:v>124.5315097585141</c:v>
                </c:pt>
                <c:pt idx="4">
                  <c:v>719.60705244967426</c:v>
                </c:pt>
                <c:pt idx="5">
                  <c:v>3807.1216898236567</c:v>
                </c:pt>
                <c:pt idx="6">
                  <c:v>62110.546467090069</c:v>
                </c:pt>
                <c:pt idx="7">
                  <c:v>319.64438638511541</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14240.464908391938</c:v>
                </c:pt>
                <c:pt idx="2">
                  <c:v>6766.1776372573058</c:v>
                </c:pt>
                <c:pt idx="3">
                  <c:v>124.5315097585141</c:v>
                </c:pt>
                <c:pt idx="4">
                  <c:v>719.60705244967426</c:v>
                </c:pt>
                <c:pt idx="5">
                  <c:v>3807.1216898236567</c:v>
                </c:pt>
                <c:pt idx="6">
                  <c:v>62110.546467090069</c:v>
                </c:pt>
                <c:pt idx="7">
                  <c:v>319.64438638511541</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44040</v>
      </c>
      <c r="B6" s="391"/>
      <c r="C6" s="392"/>
    </row>
    <row r="7" spans="1:7" s="389" customFormat="1" ht="15.75" customHeight="1">
      <c r="A7" s="393" t="str">
        <f>txtMunicipality</f>
        <v>MELLE</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0.14268994703877447</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0.14268994703877447</v>
      </c>
      <c r="C29" s="500">
        <f ca="1">'EF ele_warmte'!B22</f>
        <v>0</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4601</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470</v>
      </c>
      <c r="C14" s="330"/>
      <c r="D14" s="330"/>
      <c r="E14" s="330"/>
      <c r="F14" s="330"/>
    </row>
    <row r="15" spans="1:6">
      <c r="A15" s="1305" t="s">
        <v>183</v>
      </c>
      <c r="B15" s="1306">
        <v>7</v>
      </c>
      <c r="C15" s="330"/>
      <c r="D15" s="330"/>
      <c r="E15" s="330"/>
      <c r="F15" s="330"/>
    </row>
    <row r="16" spans="1:6">
      <c r="A16" s="1305" t="s">
        <v>6</v>
      </c>
      <c r="B16" s="1306">
        <v>214</v>
      </c>
      <c r="C16" s="330"/>
      <c r="D16" s="330"/>
      <c r="E16" s="330"/>
      <c r="F16" s="330"/>
    </row>
    <row r="17" spans="1:6">
      <c r="A17" s="1305" t="s">
        <v>7</v>
      </c>
      <c r="B17" s="1306">
        <v>106</v>
      </c>
      <c r="C17" s="330"/>
      <c r="D17" s="330"/>
      <c r="E17" s="330"/>
      <c r="F17" s="330"/>
    </row>
    <row r="18" spans="1:6">
      <c r="A18" s="1305" t="s">
        <v>8</v>
      </c>
      <c r="B18" s="1306">
        <v>161</v>
      </c>
      <c r="C18" s="330"/>
      <c r="D18" s="330"/>
      <c r="E18" s="330"/>
      <c r="F18" s="330"/>
    </row>
    <row r="19" spans="1:6">
      <c r="A19" s="1305" t="s">
        <v>9</v>
      </c>
      <c r="B19" s="1306">
        <v>144</v>
      </c>
      <c r="C19" s="330"/>
      <c r="D19" s="330"/>
      <c r="E19" s="330"/>
      <c r="F19" s="330"/>
    </row>
    <row r="20" spans="1:6">
      <c r="A20" s="1305" t="s">
        <v>10</v>
      </c>
      <c r="B20" s="1306">
        <v>77</v>
      </c>
      <c r="C20" s="330"/>
      <c r="D20" s="330"/>
      <c r="E20" s="330"/>
      <c r="F20" s="330"/>
    </row>
    <row r="21" spans="1:6">
      <c r="A21" s="1305" t="s">
        <v>11</v>
      </c>
      <c r="B21" s="1306">
        <v>462</v>
      </c>
      <c r="C21" s="330"/>
      <c r="D21" s="330"/>
      <c r="E21" s="330"/>
      <c r="F21" s="330"/>
    </row>
    <row r="22" spans="1:6">
      <c r="A22" s="1305" t="s">
        <v>12</v>
      </c>
      <c r="B22" s="1306">
        <v>502</v>
      </c>
      <c r="C22" s="330"/>
      <c r="D22" s="330"/>
      <c r="E22" s="330"/>
      <c r="F22" s="330"/>
    </row>
    <row r="23" spans="1:6">
      <c r="A23" s="1305" t="s">
        <v>13</v>
      </c>
      <c r="B23" s="1306">
        <v>55</v>
      </c>
      <c r="C23" s="330"/>
      <c r="D23" s="330"/>
      <c r="E23" s="330"/>
      <c r="F23" s="330"/>
    </row>
    <row r="24" spans="1:6">
      <c r="A24" s="1305" t="s">
        <v>14</v>
      </c>
      <c r="B24" s="1306">
        <v>0</v>
      </c>
      <c r="C24" s="330"/>
      <c r="D24" s="330"/>
      <c r="E24" s="330"/>
      <c r="F24" s="330"/>
    </row>
    <row r="25" spans="1:6">
      <c r="A25" s="1305" t="s">
        <v>15</v>
      </c>
      <c r="B25" s="1306">
        <v>95</v>
      </c>
      <c r="C25" s="330"/>
      <c r="D25" s="330"/>
      <c r="E25" s="330"/>
      <c r="F25" s="330"/>
    </row>
    <row r="26" spans="1:6">
      <c r="A26" s="1305" t="s">
        <v>16</v>
      </c>
      <c r="B26" s="1306">
        <v>58</v>
      </c>
      <c r="C26" s="330"/>
      <c r="D26" s="330"/>
      <c r="E26" s="330"/>
      <c r="F26" s="330"/>
    </row>
    <row r="27" spans="1:6">
      <c r="A27" s="1305" t="s">
        <v>17</v>
      </c>
      <c r="B27" s="1306">
        <v>4</v>
      </c>
      <c r="C27" s="330"/>
      <c r="D27" s="330"/>
      <c r="E27" s="330"/>
      <c r="F27" s="330"/>
    </row>
    <row r="28" spans="1:6" s="43" customFormat="1">
      <c r="A28" s="1307" t="s">
        <v>18</v>
      </c>
      <c r="B28" s="1308">
        <v>186</v>
      </c>
      <c r="C28" s="336"/>
      <c r="D28" s="336"/>
      <c r="E28" s="336"/>
      <c r="F28" s="336"/>
    </row>
    <row r="29" spans="1:6">
      <c r="A29" s="1307" t="s">
        <v>909</v>
      </c>
      <c r="B29" s="1308">
        <v>104</v>
      </c>
      <c r="C29" s="336"/>
      <c r="D29" s="336"/>
      <c r="E29" s="336"/>
      <c r="F29" s="336"/>
    </row>
    <row r="30" spans="1:6">
      <c r="A30" s="1300" t="s">
        <v>910</v>
      </c>
      <c r="B30" s="1309">
        <v>32</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5</v>
      </c>
      <c r="D36" s="1306">
        <v>1697058.5529765801</v>
      </c>
      <c r="E36" s="1306">
        <v>10</v>
      </c>
      <c r="F36" s="1306">
        <v>2419179</v>
      </c>
    </row>
    <row r="37" spans="1:6">
      <c r="A37" s="1305" t="s">
        <v>24</v>
      </c>
      <c r="B37" s="1305" t="s">
        <v>27</v>
      </c>
      <c r="C37" s="1306">
        <v>0</v>
      </c>
      <c r="D37" s="1306">
        <v>0</v>
      </c>
      <c r="E37" s="1306">
        <v>0</v>
      </c>
      <c r="F37" s="1306">
        <v>0</v>
      </c>
    </row>
    <row r="38" spans="1:6">
      <c r="A38" s="1305" t="s">
        <v>24</v>
      </c>
      <c r="B38" s="1305" t="s">
        <v>28</v>
      </c>
      <c r="C38" s="1306">
        <v>0</v>
      </c>
      <c r="D38" s="1306">
        <v>0</v>
      </c>
      <c r="E38" s="1306">
        <v>0</v>
      </c>
      <c r="F38" s="1306">
        <v>0</v>
      </c>
    </row>
    <row r="39" spans="1:6">
      <c r="A39" s="1305" t="s">
        <v>29</v>
      </c>
      <c r="B39" s="1305" t="s">
        <v>30</v>
      </c>
      <c r="C39" s="1306">
        <v>3230</v>
      </c>
      <c r="D39" s="1306">
        <v>51799511.1537553</v>
      </c>
      <c r="E39" s="1306">
        <v>4410</v>
      </c>
      <c r="F39" s="1306">
        <v>19472172</v>
      </c>
    </row>
    <row r="40" spans="1:6">
      <c r="A40" s="1305" t="s">
        <v>29</v>
      </c>
      <c r="B40" s="1305" t="s">
        <v>28</v>
      </c>
      <c r="C40" s="1306">
        <v>0</v>
      </c>
      <c r="D40" s="1306">
        <v>0</v>
      </c>
      <c r="E40" s="1306">
        <v>0</v>
      </c>
      <c r="F40" s="1306">
        <v>0</v>
      </c>
    </row>
    <row r="41" spans="1:6">
      <c r="A41" s="1305" t="s">
        <v>31</v>
      </c>
      <c r="B41" s="1305" t="s">
        <v>32</v>
      </c>
      <c r="C41" s="1306">
        <v>42</v>
      </c>
      <c r="D41" s="1306">
        <v>1192468.9973625799</v>
      </c>
      <c r="E41" s="1306">
        <v>100</v>
      </c>
      <c r="F41" s="1306">
        <v>1158809</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0</v>
      </c>
      <c r="D44" s="1306">
        <v>0</v>
      </c>
      <c r="E44" s="1306">
        <v>9</v>
      </c>
      <c r="F44" s="1306">
        <v>72953.05</v>
      </c>
    </row>
    <row r="45" spans="1:6">
      <c r="A45" s="1305" t="s">
        <v>31</v>
      </c>
      <c r="B45" s="1305" t="s">
        <v>36</v>
      </c>
      <c r="C45" s="1306">
        <v>0</v>
      </c>
      <c r="D45" s="1306">
        <v>0</v>
      </c>
      <c r="E45" s="1306">
        <v>0</v>
      </c>
      <c r="F45" s="1306">
        <v>0</v>
      </c>
    </row>
    <row r="46" spans="1:6">
      <c r="A46" s="1305" t="s">
        <v>31</v>
      </c>
      <c r="B46" s="1305" t="s">
        <v>37</v>
      </c>
      <c r="C46" s="1306">
        <v>0</v>
      </c>
      <c r="D46" s="1306">
        <v>0</v>
      </c>
      <c r="E46" s="1306">
        <v>0</v>
      </c>
      <c r="F46" s="1306">
        <v>0</v>
      </c>
    </row>
    <row r="47" spans="1:6">
      <c r="A47" s="1305" t="s">
        <v>31</v>
      </c>
      <c r="B47" s="1305" t="s">
        <v>38</v>
      </c>
      <c r="C47" s="1306">
        <v>0</v>
      </c>
      <c r="D47" s="1306">
        <v>0</v>
      </c>
      <c r="E47" s="1306">
        <v>0</v>
      </c>
      <c r="F47" s="1306">
        <v>0</v>
      </c>
    </row>
    <row r="48" spans="1:6">
      <c r="A48" s="1305" t="s">
        <v>31</v>
      </c>
      <c r="B48" s="1305" t="s">
        <v>28</v>
      </c>
      <c r="C48" s="1306">
        <v>29</v>
      </c>
      <c r="D48" s="1306">
        <v>4314203.0480207801</v>
      </c>
      <c r="E48" s="1306">
        <v>30</v>
      </c>
      <c r="F48" s="1306">
        <v>989920</v>
      </c>
    </row>
    <row r="49" spans="1:6">
      <c r="A49" s="1305" t="s">
        <v>31</v>
      </c>
      <c r="B49" s="1305" t="s">
        <v>39</v>
      </c>
      <c r="C49" s="1306">
        <v>0</v>
      </c>
      <c r="D49" s="1306">
        <v>0</v>
      </c>
      <c r="E49" s="1306">
        <v>0</v>
      </c>
      <c r="F49" s="1306">
        <v>0</v>
      </c>
    </row>
    <row r="50" spans="1:6">
      <c r="A50" s="1305" t="s">
        <v>31</v>
      </c>
      <c r="B50" s="1305" t="s">
        <v>40</v>
      </c>
      <c r="C50" s="1306">
        <v>4</v>
      </c>
      <c r="D50" s="1306">
        <v>357613.79335562303</v>
      </c>
      <c r="E50" s="1306">
        <v>7</v>
      </c>
      <c r="F50" s="1306">
        <v>3079416</v>
      </c>
    </row>
    <row r="51" spans="1:6">
      <c r="A51" s="1305" t="s">
        <v>41</v>
      </c>
      <c r="B51" s="1305" t="s">
        <v>42</v>
      </c>
      <c r="C51" s="1306">
        <v>7</v>
      </c>
      <c r="D51" s="1306">
        <v>2644138.7150924499</v>
      </c>
      <c r="E51" s="1306">
        <v>24</v>
      </c>
      <c r="F51" s="1306">
        <v>199620.9</v>
      </c>
    </row>
    <row r="52" spans="1:6">
      <c r="A52" s="1305" t="s">
        <v>41</v>
      </c>
      <c r="B52" s="1305" t="s">
        <v>28</v>
      </c>
      <c r="C52" s="1306">
        <v>2</v>
      </c>
      <c r="D52" s="1306">
        <v>30998.865470340999</v>
      </c>
      <c r="E52" s="1306">
        <v>5</v>
      </c>
      <c r="F52" s="1306">
        <v>65282.39</v>
      </c>
    </row>
    <row r="53" spans="1:6">
      <c r="A53" s="1305" t="s">
        <v>43</v>
      </c>
      <c r="B53" s="1305" t="s">
        <v>44</v>
      </c>
      <c r="C53" s="1306">
        <v>78</v>
      </c>
      <c r="D53" s="1306">
        <v>3406568.5865162499</v>
      </c>
      <c r="E53" s="1306">
        <v>143</v>
      </c>
      <c r="F53" s="1306">
        <v>599672.19999999995</v>
      </c>
    </row>
    <row r="54" spans="1:6">
      <c r="A54" s="1305" t="s">
        <v>45</v>
      </c>
      <c r="B54" s="1305" t="s">
        <v>46</v>
      </c>
      <c r="C54" s="1306">
        <v>0</v>
      </c>
      <c r="D54" s="1306">
        <v>0</v>
      </c>
      <c r="E54" s="1306">
        <v>2</v>
      </c>
      <c r="F54" s="1306">
        <v>872742</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17</v>
      </c>
      <c r="D57" s="1306">
        <v>790365.73196979496</v>
      </c>
      <c r="E57" s="1306">
        <v>75</v>
      </c>
      <c r="F57" s="1306">
        <v>1077612</v>
      </c>
    </row>
    <row r="58" spans="1:6">
      <c r="A58" s="1305" t="s">
        <v>48</v>
      </c>
      <c r="B58" s="1305" t="s">
        <v>50</v>
      </c>
      <c r="C58" s="1306">
        <v>28</v>
      </c>
      <c r="D58" s="1306">
        <v>5090194.5110027296</v>
      </c>
      <c r="E58" s="1306">
        <v>33</v>
      </c>
      <c r="F58" s="1306">
        <v>331061.59999999998</v>
      </c>
    </row>
    <row r="59" spans="1:6">
      <c r="A59" s="1305" t="s">
        <v>48</v>
      </c>
      <c r="B59" s="1305" t="s">
        <v>51</v>
      </c>
      <c r="C59" s="1306">
        <v>46</v>
      </c>
      <c r="D59" s="1306">
        <v>3679864.0444959099</v>
      </c>
      <c r="E59" s="1306">
        <v>99</v>
      </c>
      <c r="F59" s="1306">
        <v>2656162</v>
      </c>
    </row>
    <row r="60" spans="1:6">
      <c r="A60" s="1305" t="s">
        <v>48</v>
      </c>
      <c r="B60" s="1305" t="s">
        <v>52</v>
      </c>
      <c r="C60" s="1306">
        <v>35</v>
      </c>
      <c r="D60" s="1306">
        <v>1492961.0744337901</v>
      </c>
      <c r="E60" s="1306">
        <v>40</v>
      </c>
      <c r="F60" s="1306">
        <v>1349822</v>
      </c>
    </row>
    <row r="61" spans="1:6">
      <c r="A61" s="1305" t="s">
        <v>48</v>
      </c>
      <c r="B61" s="1305" t="s">
        <v>53</v>
      </c>
      <c r="C61" s="1306">
        <v>101</v>
      </c>
      <c r="D61" s="1306">
        <v>4445817.6583904196</v>
      </c>
      <c r="E61" s="1306">
        <v>201</v>
      </c>
      <c r="F61" s="1306">
        <v>3195724</v>
      </c>
    </row>
    <row r="62" spans="1:6">
      <c r="A62" s="1305" t="s">
        <v>48</v>
      </c>
      <c r="B62" s="1305" t="s">
        <v>54</v>
      </c>
      <c r="C62" s="1306">
        <v>3</v>
      </c>
      <c r="D62" s="1306">
        <v>251053.097357816</v>
      </c>
      <c r="E62" s="1306">
        <v>11</v>
      </c>
      <c r="F62" s="1306">
        <v>1188619</v>
      </c>
    </row>
    <row r="63" spans="1:6">
      <c r="A63" s="1305" t="s">
        <v>48</v>
      </c>
      <c r="B63" s="1305" t="s">
        <v>28</v>
      </c>
      <c r="C63" s="1306">
        <v>87</v>
      </c>
      <c r="D63" s="1306">
        <v>7142126.6997478697</v>
      </c>
      <c r="E63" s="1306">
        <v>116</v>
      </c>
      <c r="F63" s="1306">
        <v>4076270</v>
      </c>
    </row>
    <row r="64" spans="1:6">
      <c r="A64" s="1305" t="s">
        <v>55</v>
      </c>
      <c r="B64" s="1305" t="s">
        <v>56</v>
      </c>
      <c r="C64" s="1306">
        <v>0</v>
      </c>
      <c r="D64" s="1306">
        <v>0</v>
      </c>
      <c r="E64" s="1306">
        <v>0</v>
      </c>
      <c r="F64" s="1306">
        <v>0</v>
      </c>
    </row>
    <row r="65" spans="1:6">
      <c r="A65" s="1305" t="s">
        <v>55</v>
      </c>
      <c r="B65" s="1305" t="s">
        <v>28</v>
      </c>
      <c r="C65" s="1306">
        <v>1</v>
      </c>
      <c r="D65" s="1306">
        <v>30711.512540940301</v>
      </c>
      <c r="E65" s="1306">
        <v>4</v>
      </c>
      <c r="F65" s="1306">
        <v>236570.8</v>
      </c>
    </row>
    <row r="66" spans="1:6">
      <c r="A66" s="1305" t="s">
        <v>55</v>
      </c>
      <c r="B66" s="1305" t="s">
        <v>57</v>
      </c>
      <c r="C66" s="1306">
        <v>3</v>
      </c>
      <c r="D66" s="1306">
        <v>5263749.3112890003</v>
      </c>
      <c r="E66" s="1306">
        <v>15</v>
      </c>
      <c r="F66" s="1306">
        <v>2471628</v>
      </c>
    </row>
    <row r="67" spans="1:6">
      <c r="A67" s="1307" t="s">
        <v>55</v>
      </c>
      <c r="B67" s="1307" t="s">
        <v>58</v>
      </c>
      <c r="C67" s="1306">
        <v>0</v>
      </c>
      <c r="D67" s="1306">
        <v>0</v>
      </c>
      <c r="E67" s="1306">
        <v>0</v>
      </c>
      <c r="F67" s="1306">
        <v>0</v>
      </c>
    </row>
    <row r="68" spans="1:6">
      <c r="A68" s="1300" t="s">
        <v>55</v>
      </c>
      <c r="B68" s="1300" t="s">
        <v>59</v>
      </c>
      <c r="C68" s="1309">
        <v>0</v>
      </c>
      <c r="D68" s="1309">
        <v>0</v>
      </c>
      <c r="E68" s="1309">
        <v>6</v>
      </c>
      <c r="F68" s="1309">
        <v>78926.73</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43278354</v>
      </c>
      <c r="E73" s="450"/>
      <c r="F73" s="330"/>
    </row>
    <row r="74" spans="1:6">
      <c r="A74" s="1305" t="s">
        <v>63</v>
      </c>
      <c r="B74" s="1305" t="s">
        <v>710</v>
      </c>
      <c r="C74" s="1319" t="s">
        <v>712</v>
      </c>
      <c r="D74" s="1320">
        <v>3891881.9685257105</v>
      </c>
      <c r="E74" s="450"/>
      <c r="F74" s="330"/>
    </row>
    <row r="75" spans="1:6">
      <c r="A75" s="1305" t="s">
        <v>64</v>
      </c>
      <c r="B75" s="1305" t="s">
        <v>709</v>
      </c>
      <c r="C75" s="1319" t="s">
        <v>713</v>
      </c>
      <c r="D75" s="1320">
        <v>10424372</v>
      </c>
      <c r="E75" s="450"/>
      <c r="F75" s="330"/>
    </row>
    <row r="76" spans="1:6">
      <c r="A76" s="1305" t="s">
        <v>64</v>
      </c>
      <c r="B76" s="1305" t="s">
        <v>710</v>
      </c>
      <c r="C76" s="1319" t="s">
        <v>714</v>
      </c>
      <c r="D76" s="1320">
        <v>759678.96852571028</v>
      </c>
      <c r="E76" s="450"/>
      <c r="F76" s="330"/>
    </row>
    <row r="77" spans="1:6">
      <c r="A77" s="1305" t="s">
        <v>65</v>
      </c>
      <c r="B77" s="1305" t="s">
        <v>709</v>
      </c>
      <c r="C77" s="1319" t="s">
        <v>715</v>
      </c>
      <c r="D77" s="1320">
        <v>201382874</v>
      </c>
      <c r="E77" s="450"/>
      <c r="F77" s="330"/>
    </row>
    <row r="78" spans="1:6">
      <c r="A78" s="1300" t="s">
        <v>65</v>
      </c>
      <c r="B78" s="1300" t="s">
        <v>710</v>
      </c>
      <c r="C78" s="1300" t="s">
        <v>716</v>
      </c>
      <c r="D78" s="1321">
        <v>23840359</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286304.06294857932</v>
      </c>
      <c r="C83" s="450"/>
      <c r="D83" s="330"/>
      <c r="E83" s="330"/>
      <c r="F83" s="330"/>
    </row>
    <row r="84" spans="1:6">
      <c r="A84" s="1300" t="s">
        <v>336</v>
      </c>
      <c r="B84" s="1321">
        <v>100069.35530881332</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12088.39033298098</v>
      </c>
      <c r="C90" s="330"/>
      <c r="D90" s="330"/>
      <c r="E90" s="330"/>
      <c r="F90" s="330"/>
    </row>
    <row r="91" spans="1:6">
      <c r="A91" s="1305" t="s">
        <v>67</v>
      </c>
      <c r="B91" s="1306">
        <v>1749.9096338888435</v>
      </c>
      <c r="C91" s="330"/>
      <c r="D91" s="330"/>
      <c r="E91" s="330"/>
      <c r="F91" s="330"/>
    </row>
    <row r="92" spans="1:6">
      <c r="A92" s="1300" t="s">
        <v>68</v>
      </c>
      <c r="B92" s="1301">
        <v>1227.4816612192462</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2031</v>
      </c>
      <c r="C97" s="330"/>
      <c r="D97" s="330"/>
      <c r="E97" s="330"/>
      <c r="F97" s="330"/>
    </row>
    <row r="98" spans="1:6">
      <c r="A98" s="1305" t="s">
        <v>71</v>
      </c>
      <c r="B98" s="1306">
        <v>0</v>
      </c>
      <c r="C98" s="330"/>
      <c r="D98" s="330"/>
      <c r="E98" s="330"/>
      <c r="F98" s="330"/>
    </row>
    <row r="99" spans="1:6">
      <c r="A99" s="1305" t="s">
        <v>72</v>
      </c>
      <c r="B99" s="1306">
        <v>23</v>
      </c>
      <c r="C99" s="330"/>
      <c r="D99" s="330"/>
      <c r="E99" s="330"/>
      <c r="F99" s="330"/>
    </row>
    <row r="100" spans="1:6">
      <c r="A100" s="1305" t="s">
        <v>73</v>
      </c>
      <c r="B100" s="1306">
        <v>497</v>
      </c>
      <c r="C100" s="330"/>
      <c r="D100" s="330"/>
      <c r="E100" s="330"/>
      <c r="F100" s="330"/>
    </row>
    <row r="101" spans="1:6">
      <c r="A101" s="1305" t="s">
        <v>74</v>
      </c>
      <c r="B101" s="1306">
        <v>48</v>
      </c>
      <c r="C101" s="330"/>
      <c r="D101" s="330"/>
      <c r="E101" s="330"/>
      <c r="F101" s="330"/>
    </row>
    <row r="102" spans="1:6">
      <c r="A102" s="1305" t="s">
        <v>75</v>
      </c>
      <c r="B102" s="1306">
        <v>61</v>
      </c>
      <c r="C102" s="330"/>
      <c r="D102" s="330"/>
      <c r="E102" s="330"/>
      <c r="F102" s="330"/>
    </row>
    <row r="103" spans="1:6">
      <c r="A103" s="1305" t="s">
        <v>76</v>
      </c>
      <c r="B103" s="1306">
        <v>100</v>
      </c>
      <c r="C103" s="330"/>
      <c r="D103" s="330"/>
      <c r="E103" s="330"/>
      <c r="F103" s="330"/>
    </row>
    <row r="104" spans="1:6">
      <c r="A104" s="1305" t="s">
        <v>77</v>
      </c>
      <c r="B104" s="1306">
        <v>1227</v>
      </c>
      <c r="C104" s="330"/>
      <c r="D104" s="330"/>
      <c r="E104" s="330"/>
      <c r="F104" s="330"/>
    </row>
    <row r="105" spans="1:6">
      <c r="A105" s="1300" t="s">
        <v>78</v>
      </c>
      <c r="B105" s="1309">
        <v>2</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1</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6</v>
      </c>
      <c r="C123" s="1306">
        <v>5</v>
      </c>
      <c r="D123" s="330"/>
      <c r="E123" s="330"/>
      <c r="F123" s="330"/>
    </row>
    <row r="124" spans="1:6" s="43" customFormat="1">
      <c r="A124" s="1307" t="s">
        <v>88</v>
      </c>
      <c r="B124" s="1328">
        <v>0</v>
      </c>
      <c r="C124" s="1328">
        <v>0</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77</v>
      </c>
      <c r="C129" s="330"/>
      <c r="D129" s="330"/>
      <c r="E129" s="330"/>
      <c r="F129" s="330"/>
    </row>
    <row r="130" spans="1:6">
      <c r="A130" s="1305" t="s">
        <v>294</v>
      </c>
      <c r="B130" s="1306">
        <v>1</v>
      </c>
      <c r="C130" s="330"/>
      <c r="D130" s="330"/>
      <c r="E130" s="330"/>
      <c r="F130" s="330"/>
    </row>
    <row r="131" spans="1:6">
      <c r="A131" s="1305" t="s">
        <v>295</v>
      </c>
      <c r="B131" s="1306">
        <v>1</v>
      </c>
      <c r="C131" s="330"/>
      <c r="D131" s="330"/>
      <c r="E131" s="330"/>
      <c r="F131" s="330"/>
    </row>
    <row r="132" spans="1:6">
      <c r="A132" s="1300" t="s">
        <v>296</v>
      </c>
      <c r="B132" s="1301">
        <v>4</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42517.3731073362</v>
      </c>
      <c r="C3" s="43" t="s">
        <v>169</v>
      </c>
      <c r="D3" s="43"/>
      <c r="E3" s="154"/>
      <c r="F3" s="43"/>
      <c r="G3" s="43"/>
      <c r="H3" s="43"/>
      <c r="I3" s="43"/>
      <c r="J3" s="43"/>
      <c r="K3" s="96"/>
    </row>
    <row r="4" spans="1:11">
      <c r="A4" s="359" t="s">
        <v>170</v>
      </c>
      <c r="B4" s="49">
        <f>IF(ISERROR('SEAP template'!B78+'SEAP template'!C78),0,'SEAP template'!B78+'SEAP template'!C78)</f>
        <v>15065.781628089069</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0</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0.14268994703877447</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0</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0</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872.74199999999996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872.74199999999996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0.14268994703877447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124.5315097585141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19472.171999999999</v>
      </c>
      <c r="C5" s="17">
        <f>IF(ISERROR('Eigen informatie GS &amp; warmtenet'!B57),0,'Eigen informatie GS &amp; warmtenet'!B57)</f>
        <v>0</v>
      </c>
      <c r="D5" s="30">
        <f>(SUM(HH_hh_gas_kWh,HH_rest_gas_kWh)/1000)*0.902</f>
        <v>46723.159060687285</v>
      </c>
      <c r="E5" s="17">
        <f>B46*B57</f>
        <v>3921.2824225278973</v>
      </c>
      <c r="F5" s="17">
        <f>B51*B62</f>
        <v>3311.1534225735031</v>
      </c>
      <c r="G5" s="18"/>
      <c r="H5" s="17"/>
      <c r="I5" s="17"/>
      <c r="J5" s="17">
        <f>B50*B61+C50*C61</f>
        <v>0</v>
      </c>
      <c r="K5" s="17"/>
      <c r="L5" s="17"/>
      <c r="M5" s="17"/>
      <c r="N5" s="17">
        <f>B48*B59+C48*C59</f>
        <v>5901.3447976119851</v>
      </c>
      <c r="O5" s="17">
        <f>B69*B70*B71</f>
        <v>128.19333333333336</v>
      </c>
      <c r="P5" s="17">
        <f>B77*B78*B79/1000-B77*B78*B79/1000/B80</f>
        <v>190.66666666666669</v>
      </c>
    </row>
    <row r="6" spans="1:16">
      <c r="A6" s="16" t="s">
        <v>630</v>
      </c>
      <c r="B6" s="763">
        <f>kWh_PV_kleiner_dan_10kW</f>
        <v>1749.9096338888435</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21222.081633888843</v>
      </c>
      <c r="C8" s="21">
        <f>C5</f>
        <v>0</v>
      </c>
      <c r="D8" s="21">
        <f>D5</f>
        <v>46723.159060687285</v>
      </c>
      <c r="E8" s="21">
        <f>E5</f>
        <v>3921.2824225278973</v>
      </c>
      <c r="F8" s="21">
        <f>F5</f>
        <v>3311.1534225735031</v>
      </c>
      <c r="G8" s="21"/>
      <c r="H8" s="21"/>
      <c r="I8" s="21"/>
      <c r="J8" s="21">
        <f>J5</f>
        <v>0</v>
      </c>
      <c r="K8" s="21"/>
      <c r="L8" s="21">
        <f>L5</f>
        <v>0</v>
      </c>
      <c r="M8" s="21">
        <f>M5</f>
        <v>0</v>
      </c>
      <c r="N8" s="21">
        <f>N5</f>
        <v>5901.3447976119851</v>
      </c>
      <c r="O8" s="21">
        <f>O5</f>
        <v>128.19333333333336</v>
      </c>
      <c r="P8" s="21">
        <f>P5</f>
        <v>190.66666666666669</v>
      </c>
    </row>
    <row r="9" spans="1:16">
      <c r="B9" s="19"/>
      <c r="C9" s="19"/>
      <c r="D9" s="258"/>
      <c r="E9" s="19"/>
      <c r="F9" s="19"/>
      <c r="G9" s="19"/>
      <c r="H9" s="19"/>
      <c r="I9" s="19"/>
      <c r="J9" s="19"/>
      <c r="K9" s="19"/>
      <c r="L9" s="19"/>
      <c r="M9" s="19"/>
      <c r="N9" s="19"/>
      <c r="O9" s="19"/>
      <c r="P9" s="19"/>
    </row>
    <row r="10" spans="1:16">
      <c r="A10" s="24" t="s">
        <v>213</v>
      </c>
      <c r="B10" s="25">
        <f ca="1">'EF ele_warmte'!B12</f>
        <v>0.14268994703877447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3028.1777043921475</v>
      </c>
      <c r="C12" s="23">
        <f ca="1">C10*C8</f>
        <v>0</v>
      </c>
      <c r="D12" s="23">
        <f>D8*D10</f>
        <v>9438.078130258833</v>
      </c>
      <c r="E12" s="23">
        <f>E10*E8</f>
        <v>890.13110991383269</v>
      </c>
      <c r="F12" s="23">
        <f>F10*F8</f>
        <v>884.07796382712536</v>
      </c>
      <c r="G12" s="23"/>
      <c r="H12" s="23"/>
      <c r="I12" s="23"/>
      <c r="J12" s="23">
        <f>J10*J8</f>
        <v>0</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2031</v>
      </c>
      <c r="C18" s="166" t="s">
        <v>110</v>
      </c>
      <c r="D18" s="228"/>
      <c r="E18" s="15"/>
    </row>
    <row r="19" spans="1:7">
      <c r="A19" s="171" t="s">
        <v>71</v>
      </c>
      <c r="B19" s="37">
        <f>aantalw2001_ander</f>
        <v>0</v>
      </c>
      <c r="C19" s="166" t="s">
        <v>110</v>
      </c>
      <c r="D19" s="229"/>
      <c r="E19" s="15"/>
    </row>
    <row r="20" spans="1:7">
      <c r="A20" s="171" t="s">
        <v>72</v>
      </c>
      <c r="B20" s="37">
        <f>aantalw2001_propaan</f>
        <v>23</v>
      </c>
      <c r="C20" s="167">
        <f>IF(ISERROR(B20/SUM($B$20,$B$21,$B$22)*100),0,B20/SUM($B$20,$B$21,$B$22)*100)</f>
        <v>4.0492957746478879</v>
      </c>
      <c r="D20" s="229"/>
      <c r="E20" s="15"/>
    </row>
    <row r="21" spans="1:7">
      <c r="A21" s="171" t="s">
        <v>73</v>
      </c>
      <c r="B21" s="37">
        <f>aantalw2001_elektriciteit</f>
        <v>497</v>
      </c>
      <c r="C21" s="167">
        <f>IF(ISERROR(B21/SUM($B$20,$B$21,$B$22)*100),0,B21/SUM($B$20,$B$21,$B$22)*100)</f>
        <v>87.5</v>
      </c>
      <c r="D21" s="229"/>
      <c r="E21" s="15"/>
    </row>
    <row r="22" spans="1:7">
      <c r="A22" s="171" t="s">
        <v>74</v>
      </c>
      <c r="B22" s="37">
        <f>aantalw2001_hout</f>
        <v>48</v>
      </c>
      <c r="C22" s="167">
        <f>IF(ISERROR(B22/SUM($B$20,$B$21,$B$22)*100),0,B22/SUM($B$20,$B$21,$B$22)*100)</f>
        <v>8.4507042253521121</v>
      </c>
      <c r="D22" s="229"/>
      <c r="E22" s="15"/>
    </row>
    <row r="23" spans="1:7">
      <c r="A23" s="171" t="s">
        <v>75</v>
      </c>
      <c r="B23" s="37">
        <f>aantalw2001_niet_gespec</f>
        <v>61</v>
      </c>
      <c r="C23" s="166" t="s">
        <v>110</v>
      </c>
      <c r="D23" s="228"/>
      <c r="E23" s="15"/>
    </row>
    <row r="24" spans="1:7">
      <c r="A24" s="171" t="s">
        <v>76</v>
      </c>
      <c r="B24" s="37">
        <f>aantalw2001_steenkool</f>
        <v>100</v>
      </c>
      <c r="C24" s="166" t="s">
        <v>110</v>
      </c>
      <c r="D24" s="229"/>
      <c r="E24" s="15"/>
    </row>
    <row r="25" spans="1:7">
      <c r="A25" s="171" t="s">
        <v>77</v>
      </c>
      <c r="B25" s="37">
        <f>aantalw2001_stookolie</f>
        <v>1227</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736</v>
      </c>
      <c r="B28" s="37">
        <f>aantalHuishoudens</f>
        <v>4601</v>
      </c>
      <c r="C28" s="36"/>
      <c r="D28" s="228"/>
    </row>
    <row r="29" spans="1:7" s="15" customFormat="1">
      <c r="A29" s="230" t="s">
        <v>737</v>
      </c>
      <c r="B29" s="37">
        <f>SUM(HH_hh_gas_aantal,HH_rest_gas_aantal)</f>
        <v>3230</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3230</v>
      </c>
      <c r="C32" s="167">
        <f>IF(ISERROR(B32/SUM($B$32,$B$34,$B$35,$B$36,$B$38,$B$39)*100),0,B32/SUM($B$32,$B$34,$B$35,$B$36,$B$38,$B$39)*100)</f>
        <v>70.355042474406446</v>
      </c>
      <c r="D32" s="233"/>
      <c r="G32" s="15"/>
    </row>
    <row r="33" spans="1:7">
      <c r="A33" s="171" t="s">
        <v>71</v>
      </c>
      <c r="B33" s="34" t="s">
        <v>110</v>
      </c>
      <c r="C33" s="167"/>
      <c r="D33" s="233"/>
      <c r="G33" s="15"/>
    </row>
    <row r="34" spans="1:7">
      <c r="A34" s="171" t="s">
        <v>72</v>
      </c>
      <c r="B34" s="33">
        <f>IF((($B$28-$B$32-$B$39-$B$77-$B$38)*C20/100)&lt;0,0,($B$28-$B$32-$B$39-$B$77-$B$38)*C20/100)</f>
        <v>49.122007042253536</v>
      </c>
      <c r="C34" s="167">
        <f>IF(ISERROR(B34/SUM($B$32,$B$34,$B$35,$B$36,$B$38,$B$39)*100),0,B34/SUM($B$32,$B$34,$B$35,$B$36,$B$38,$B$39)*100)</f>
        <v>1.0699631244228607</v>
      </c>
      <c r="D34" s="233"/>
      <c r="G34" s="15"/>
    </row>
    <row r="35" spans="1:7">
      <c r="A35" s="171" t="s">
        <v>73</v>
      </c>
      <c r="B35" s="33">
        <f>IF((($B$28-$B$32-$B$39-$B$77-$B$38)*C21/100)&lt;0,0,($B$28-$B$32-$B$39-$B$77-$B$38)*C21/100)</f>
        <v>1061.4625000000001</v>
      </c>
      <c r="C35" s="167">
        <f>IF(ISERROR(B35/SUM($B$32,$B$34,$B$35,$B$36,$B$38,$B$39)*100),0,B35/SUM($B$32,$B$34,$B$35,$B$36,$B$38,$B$39)*100)</f>
        <v>23.12050751470268</v>
      </c>
      <c r="D35" s="233"/>
      <c r="G35" s="15"/>
    </row>
    <row r="36" spans="1:7">
      <c r="A36" s="171" t="s">
        <v>74</v>
      </c>
      <c r="B36" s="33">
        <f>IF((($B$28-$B$32-$B$39-$B$77-$B$38)*C22/100)&lt;0,0,($B$28-$B$32-$B$39-$B$77-$B$38)*C22/100)</f>
        <v>102.51549295774649</v>
      </c>
      <c r="C36" s="167">
        <f>IF(ISERROR(B36/SUM($B$32,$B$34,$B$35,$B$36,$B$38,$B$39)*100),0,B36/SUM($B$32,$B$34,$B$35,$B$36,$B$38,$B$39)*100)</f>
        <v>2.2329665205346654</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147.89999999999986</v>
      </c>
      <c r="C39" s="167">
        <f>IF(ISERROR(B39/SUM($B$32,$B$34,$B$35,$B$36,$B$38,$B$39)*100),0,B39/SUM($B$32,$B$34,$B$35,$B$36,$B$38,$B$39)*100)</f>
        <v>3.2215203659333449</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3230</v>
      </c>
      <c r="C44" s="34" t="s">
        <v>110</v>
      </c>
      <c r="D44" s="174"/>
    </row>
    <row r="45" spans="1:7">
      <c r="A45" s="171" t="s">
        <v>71</v>
      </c>
      <c r="B45" s="33" t="str">
        <f t="shared" si="0"/>
        <v>-</v>
      </c>
      <c r="C45" s="34" t="s">
        <v>110</v>
      </c>
      <c r="D45" s="174"/>
    </row>
    <row r="46" spans="1:7">
      <c r="A46" s="171" t="s">
        <v>72</v>
      </c>
      <c r="B46" s="33">
        <f t="shared" si="0"/>
        <v>49.122007042253536</v>
      </c>
      <c r="C46" s="34" t="s">
        <v>110</v>
      </c>
      <c r="D46" s="174"/>
    </row>
    <row r="47" spans="1:7">
      <c r="A47" s="171" t="s">
        <v>73</v>
      </c>
      <c r="B47" s="33">
        <f t="shared" si="0"/>
        <v>1061.4625000000001</v>
      </c>
      <c r="C47" s="34" t="s">
        <v>110</v>
      </c>
      <c r="D47" s="174"/>
    </row>
    <row r="48" spans="1:7">
      <c r="A48" s="171" t="s">
        <v>74</v>
      </c>
      <c r="B48" s="33">
        <f t="shared" si="0"/>
        <v>102.51549295774649</v>
      </c>
      <c r="C48" s="33">
        <f>B48*10</f>
        <v>1025.1549295774648</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147.89999999999986</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82</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10</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13875.270600000002</v>
      </c>
      <c r="C5" s="17">
        <f>IF(ISERROR('Eigen informatie GS &amp; warmtenet'!B58),0,'Eigen informatie GS &amp; warmtenet'!B58)</f>
        <v>0</v>
      </c>
      <c r="D5" s="30">
        <f>SUM(D6:D12)</f>
        <v>20648.929301293294</v>
      </c>
      <c r="E5" s="17">
        <f>SUM(E6:E12)</f>
        <v>136.08203306252472</v>
      </c>
      <c r="F5" s="17">
        <f>SUM(F6:F12)</f>
        <v>2188.5455798809085</v>
      </c>
      <c r="G5" s="18"/>
      <c r="H5" s="17"/>
      <c r="I5" s="17"/>
      <c r="J5" s="17">
        <f>SUM(J6:J12)</f>
        <v>0</v>
      </c>
      <c r="K5" s="17"/>
      <c r="L5" s="17"/>
      <c r="M5" s="17"/>
      <c r="N5" s="17">
        <f>SUM(N6:N12)</f>
        <v>1164.4660919158948</v>
      </c>
      <c r="O5" s="17">
        <f>B38*B39*B40</f>
        <v>1.5633333333333335</v>
      </c>
      <c r="P5" s="17">
        <f>B46*B47*B48/1000-B46*B47*B48/1000/B49</f>
        <v>19.066666666666666</v>
      </c>
      <c r="R5" s="32"/>
    </row>
    <row r="6" spans="1:18">
      <c r="A6" s="32" t="s">
        <v>53</v>
      </c>
      <c r="B6" s="37">
        <f>B26</f>
        <v>3195.7240000000002</v>
      </c>
      <c r="C6" s="33"/>
      <c r="D6" s="37">
        <f>IF(ISERROR(TER_kantoor_gas_kWh/1000),0,TER_kantoor_gas_kWh/1000)*0.902</f>
        <v>4010.1275278681587</v>
      </c>
      <c r="E6" s="33">
        <f>$C$26*'E Balans VL '!I12/100/3.6*1000000</f>
        <v>9.2584813071944012</v>
      </c>
      <c r="F6" s="33">
        <f>$C$26*('E Balans VL '!L12+'E Balans VL '!N12)/100/3.6*1000000</f>
        <v>361.6855495414402</v>
      </c>
      <c r="G6" s="34"/>
      <c r="H6" s="33"/>
      <c r="I6" s="33"/>
      <c r="J6" s="33">
        <f>$C$26*('E Balans VL '!D12+'E Balans VL '!E12)/100/3.6*1000000</f>
        <v>0</v>
      </c>
      <c r="K6" s="33"/>
      <c r="L6" s="33"/>
      <c r="M6" s="33"/>
      <c r="N6" s="33">
        <f>$C$26*'E Balans VL '!Y12/100/3.6*1000000</f>
        <v>31.986842525421697</v>
      </c>
      <c r="O6" s="33"/>
      <c r="P6" s="33"/>
      <c r="R6" s="32"/>
    </row>
    <row r="7" spans="1:18">
      <c r="A7" s="32" t="s">
        <v>52</v>
      </c>
      <c r="B7" s="37">
        <f t="shared" ref="B7:B12" si="0">B27</f>
        <v>1349.8219999999999</v>
      </c>
      <c r="C7" s="33"/>
      <c r="D7" s="37">
        <f>IF(ISERROR(TER_horeca_gas_kWh/1000),0,TER_horeca_gas_kWh/1000)*0.902</f>
        <v>1346.6508891392787</v>
      </c>
      <c r="E7" s="33">
        <f>$C$27*'E Balans VL '!I9/100/3.6*1000000</f>
        <v>56.661756231867891</v>
      </c>
      <c r="F7" s="33">
        <f>$C$27*('E Balans VL '!L9+'E Balans VL '!N9)/100/3.6*1000000</f>
        <v>290.03693740716062</v>
      </c>
      <c r="G7" s="34"/>
      <c r="H7" s="33"/>
      <c r="I7" s="33"/>
      <c r="J7" s="33">
        <f>$C$27*('E Balans VL '!D9+'E Balans VL '!E9)/100/3.6*1000000</f>
        <v>0</v>
      </c>
      <c r="K7" s="33"/>
      <c r="L7" s="33"/>
      <c r="M7" s="33"/>
      <c r="N7" s="33">
        <f>$C$27*'E Balans VL '!Y9/100/3.6*1000000</f>
        <v>0.34783732477837004</v>
      </c>
      <c r="O7" s="33"/>
      <c r="P7" s="33"/>
      <c r="R7" s="32"/>
    </row>
    <row r="8" spans="1:18">
      <c r="A8" s="6" t="s">
        <v>51</v>
      </c>
      <c r="B8" s="37">
        <f t="shared" si="0"/>
        <v>2656.1619999999998</v>
      </c>
      <c r="C8" s="33"/>
      <c r="D8" s="37">
        <f>IF(ISERROR(TER_handel_gas_kWh/1000),0,TER_handel_gas_kWh/1000)*0.902</f>
        <v>3319.237368135311</v>
      </c>
      <c r="E8" s="33">
        <f>$C$28*'E Balans VL '!I13/100/3.6*1000000</f>
        <v>28.529390540791045</v>
      </c>
      <c r="F8" s="33">
        <f>$C$28*('E Balans VL '!L13+'E Balans VL '!N13)/100/3.6*1000000</f>
        <v>343.86210503362832</v>
      </c>
      <c r="G8" s="34"/>
      <c r="H8" s="33"/>
      <c r="I8" s="33"/>
      <c r="J8" s="33">
        <f>$C$28*('E Balans VL '!D13+'E Balans VL '!E13)/100/3.6*1000000</f>
        <v>0</v>
      </c>
      <c r="K8" s="33"/>
      <c r="L8" s="33"/>
      <c r="M8" s="33"/>
      <c r="N8" s="33">
        <f>$C$28*'E Balans VL '!Y13/100/3.6*1000000</f>
        <v>21.546931176751155</v>
      </c>
      <c r="O8" s="33"/>
      <c r="P8" s="33"/>
      <c r="R8" s="32"/>
    </row>
    <row r="9" spans="1:18">
      <c r="A9" s="32" t="s">
        <v>50</v>
      </c>
      <c r="B9" s="37">
        <f t="shared" si="0"/>
        <v>331.0616</v>
      </c>
      <c r="C9" s="33"/>
      <c r="D9" s="37">
        <f>IF(ISERROR(TER_gezond_gas_kWh/1000),0,TER_gezond_gas_kWh/1000)*0.902</f>
        <v>4591.3554489244625</v>
      </c>
      <c r="E9" s="33">
        <f>$C$29*'E Balans VL '!I10/100/3.6*1000000</f>
        <v>0.26354644609063044</v>
      </c>
      <c r="F9" s="33">
        <f>$C$29*('E Balans VL '!L10+'E Balans VL '!N10)/100/3.6*1000000</f>
        <v>40.245321751041224</v>
      </c>
      <c r="G9" s="34"/>
      <c r="H9" s="33"/>
      <c r="I9" s="33"/>
      <c r="J9" s="33">
        <f>$C$29*('E Balans VL '!D10+'E Balans VL '!E10)/100/3.6*1000000</f>
        <v>0</v>
      </c>
      <c r="K9" s="33"/>
      <c r="L9" s="33"/>
      <c r="M9" s="33"/>
      <c r="N9" s="33">
        <f>$C$29*'E Balans VL '!Y10/100/3.6*1000000</f>
        <v>2.6742278957918866</v>
      </c>
      <c r="O9" s="33"/>
      <c r="P9" s="33"/>
      <c r="R9" s="32"/>
    </row>
    <row r="10" spans="1:18">
      <c r="A10" s="32" t="s">
        <v>49</v>
      </c>
      <c r="B10" s="37">
        <f t="shared" si="0"/>
        <v>1077.6120000000001</v>
      </c>
      <c r="C10" s="33"/>
      <c r="D10" s="37">
        <f>IF(ISERROR(TER_ander_gas_kWh/1000),0,TER_ander_gas_kWh/1000)*0.902</f>
        <v>712.90989023675513</v>
      </c>
      <c r="E10" s="33">
        <f>$C$30*'E Balans VL '!I14/100/3.6*1000000</f>
        <v>3.6930329344778121</v>
      </c>
      <c r="F10" s="33">
        <f>$C$30*('E Balans VL '!L14+'E Balans VL '!N14)/100/3.6*1000000</f>
        <v>240.69473180651025</v>
      </c>
      <c r="G10" s="34"/>
      <c r="H10" s="33"/>
      <c r="I10" s="33"/>
      <c r="J10" s="33">
        <f>$C$30*('E Balans VL '!D14+'E Balans VL '!E14)/100/3.6*1000000</f>
        <v>0</v>
      </c>
      <c r="K10" s="33"/>
      <c r="L10" s="33"/>
      <c r="M10" s="33"/>
      <c r="N10" s="33">
        <f>$C$30*'E Balans VL '!Y14/100/3.6*1000000</f>
        <v>759.07577967928364</v>
      </c>
      <c r="O10" s="33"/>
      <c r="P10" s="33"/>
      <c r="R10" s="32"/>
    </row>
    <row r="11" spans="1:18">
      <c r="A11" s="32" t="s">
        <v>54</v>
      </c>
      <c r="B11" s="37">
        <f t="shared" si="0"/>
        <v>1188.6189999999999</v>
      </c>
      <c r="C11" s="33"/>
      <c r="D11" s="37">
        <f>IF(ISERROR(TER_onderwijs_gas_kWh/1000),0,TER_onderwijs_gas_kWh/1000)*0.902</f>
        <v>226.44989381675003</v>
      </c>
      <c r="E11" s="33">
        <f>$C$31*'E Balans VL '!I11/100/3.6*1000000</f>
        <v>0.82165570811578359</v>
      </c>
      <c r="F11" s="33">
        <f>$C$31*('E Balans VL '!L11+'E Balans VL '!N11)/100/3.6*1000000</f>
        <v>311.14592716076589</v>
      </c>
      <c r="G11" s="34"/>
      <c r="H11" s="33"/>
      <c r="I11" s="33"/>
      <c r="J11" s="33">
        <f>$C$31*('E Balans VL '!D11+'E Balans VL '!E11)/100/3.6*1000000</f>
        <v>0</v>
      </c>
      <c r="K11" s="33"/>
      <c r="L11" s="33"/>
      <c r="M11" s="33"/>
      <c r="N11" s="33">
        <f>$C$31*'E Balans VL '!Y11/100/3.6*1000000</f>
        <v>1.1831689758310324</v>
      </c>
      <c r="O11" s="33"/>
      <c r="P11" s="33"/>
      <c r="R11" s="32"/>
    </row>
    <row r="12" spans="1:18">
      <c r="A12" s="32" t="s">
        <v>259</v>
      </c>
      <c r="B12" s="37">
        <f t="shared" si="0"/>
        <v>4076.27</v>
      </c>
      <c r="C12" s="33"/>
      <c r="D12" s="37">
        <f>IF(ISERROR(TER_rest_gas_kWh/1000),0,TER_rest_gas_kWh/1000)*0.902</f>
        <v>6442.1982831725791</v>
      </c>
      <c r="E12" s="33">
        <f>$C$32*'E Balans VL '!I8/100/3.6*1000000</f>
        <v>36.854169893987141</v>
      </c>
      <c r="F12" s="33">
        <f>$C$32*('E Balans VL '!L8+'E Balans VL '!N8)/100/3.6*1000000</f>
        <v>600.87500718036199</v>
      </c>
      <c r="G12" s="34"/>
      <c r="H12" s="33"/>
      <c r="I12" s="33"/>
      <c r="J12" s="33">
        <f>$C$32*('E Balans VL '!D8+'E Balans VL '!E8)/100/3.6*1000000</f>
        <v>0</v>
      </c>
      <c r="K12" s="33"/>
      <c r="L12" s="33"/>
      <c r="M12" s="33"/>
      <c r="N12" s="33">
        <f>$C$32*'E Balans VL '!Y8/100/3.6*1000000</f>
        <v>347.65130433803705</v>
      </c>
      <c r="O12" s="33"/>
      <c r="P12" s="33"/>
      <c r="R12" s="32"/>
    </row>
    <row r="13" spans="1:18">
      <c r="A13" s="16" t="s">
        <v>493</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13875.270600000002</v>
      </c>
      <c r="C16" s="21">
        <f t="shared" ca="1" si="1"/>
        <v>0</v>
      </c>
      <c r="D16" s="21">
        <f t="shared" ca="1" si="1"/>
        <v>20648.929301293294</v>
      </c>
      <c r="E16" s="21">
        <f t="shared" si="1"/>
        <v>136.08203306252472</v>
      </c>
      <c r="F16" s="21">
        <f t="shared" ca="1" si="1"/>
        <v>2188.5455798809085</v>
      </c>
      <c r="G16" s="21">
        <f t="shared" si="1"/>
        <v>0</v>
      </c>
      <c r="H16" s="21">
        <f t="shared" si="1"/>
        <v>0</v>
      </c>
      <c r="I16" s="21">
        <f t="shared" si="1"/>
        <v>0</v>
      </c>
      <c r="J16" s="21">
        <f t="shared" si="1"/>
        <v>0</v>
      </c>
      <c r="K16" s="21">
        <f t="shared" si="1"/>
        <v>0</v>
      </c>
      <c r="L16" s="21">
        <f t="shared" ca="1" si="1"/>
        <v>0</v>
      </c>
      <c r="M16" s="21">
        <f t="shared" si="1"/>
        <v>0</v>
      </c>
      <c r="N16" s="21">
        <f t="shared" ca="1" si="1"/>
        <v>1164.4660919158948</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0.14268994703877447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1979.8616270626646</v>
      </c>
      <c r="C20" s="23">
        <f t="shared" ref="C20:P20" ca="1" si="2">C16*C18</f>
        <v>0</v>
      </c>
      <c r="D20" s="23">
        <f t="shared" ca="1" si="2"/>
        <v>4171.0837188612459</v>
      </c>
      <c r="E20" s="23">
        <f t="shared" si="2"/>
        <v>30.89062150519311</v>
      </c>
      <c r="F20" s="23">
        <f t="shared" ca="1" si="2"/>
        <v>584.34166982820261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3195.7240000000002</v>
      </c>
      <c r="C26" s="39">
        <f>IF(ISERROR(B26*3.6/1000000/'E Balans VL '!Z12*100),0,B26*3.6/1000000/'E Balans VL '!Z12*100)</f>
        <v>7.0197772286913762E-2</v>
      </c>
      <c r="D26" s="237" t="s">
        <v>691</v>
      </c>
      <c r="F26" s="6"/>
    </row>
    <row r="27" spans="1:18">
      <c r="A27" s="231" t="s">
        <v>52</v>
      </c>
      <c r="B27" s="33">
        <f>IF(ISERROR(TER_horeca_ele_kWh/1000),0,TER_horeca_ele_kWh/1000)</f>
        <v>1349.8219999999999</v>
      </c>
      <c r="C27" s="39">
        <f>IF(ISERROR(B27*3.6/1000000/'E Balans VL '!Z9*100),0,B27*3.6/1000000/'E Balans VL '!Z9*100)</f>
        <v>0.10847165288461624</v>
      </c>
      <c r="D27" s="237" t="s">
        <v>691</v>
      </c>
      <c r="F27" s="6"/>
    </row>
    <row r="28" spans="1:18">
      <c r="A28" s="171" t="s">
        <v>51</v>
      </c>
      <c r="B28" s="33">
        <f>IF(ISERROR(TER_handel_ele_kWh/1000),0,TER_handel_ele_kWh/1000)</f>
        <v>2656.1619999999998</v>
      </c>
      <c r="C28" s="39">
        <f>IF(ISERROR(B28*3.6/1000000/'E Balans VL '!Z13*100),0,B28*3.6/1000000/'E Balans VL '!Z13*100)</f>
        <v>7.8540854706264845E-2</v>
      </c>
      <c r="D28" s="237" t="s">
        <v>691</v>
      </c>
      <c r="F28" s="6"/>
    </row>
    <row r="29" spans="1:18">
      <c r="A29" s="231" t="s">
        <v>50</v>
      </c>
      <c r="B29" s="33">
        <f>IF(ISERROR(TER_gezond_ele_kWh/1000),0,TER_gezond_ele_kWh/1000)</f>
        <v>331.0616</v>
      </c>
      <c r="C29" s="39">
        <f>IF(ISERROR(B29*3.6/1000000/'E Balans VL '!Z10*100),0,B29*3.6/1000000/'E Balans VL '!Z10*100)</f>
        <v>3.7302095062930619E-2</v>
      </c>
      <c r="D29" s="237" t="s">
        <v>691</v>
      </c>
      <c r="F29" s="6"/>
    </row>
    <row r="30" spans="1:18">
      <c r="A30" s="231" t="s">
        <v>49</v>
      </c>
      <c r="B30" s="33">
        <f>IF(ISERROR(TER_ander_ele_kWh/1000),0,TER_ander_ele_kWh/1000)</f>
        <v>1077.6120000000001</v>
      </c>
      <c r="C30" s="39">
        <f>IF(ISERROR(B30*3.6/1000000/'E Balans VL '!Z14*100),0,B30*3.6/1000000/'E Balans VL '!Z14*100)</f>
        <v>8.1497953465493531E-2</v>
      </c>
      <c r="D30" s="237" t="s">
        <v>691</v>
      </c>
      <c r="F30" s="6"/>
    </row>
    <row r="31" spans="1:18">
      <c r="A31" s="231" t="s">
        <v>54</v>
      </c>
      <c r="B31" s="33">
        <f>IF(ISERROR(TER_onderwijs_ele_kWh/1000),0,TER_onderwijs_ele_kWh/1000)</f>
        <v>1188.6189999999999</v>
      </c>
      <c r="C31" s="39">
        <f>IF(ISERROR(B31*3.6/1000000/'E Balans VL '!Z11*100),0,B31*3.6/1000000/'E Balans VL '!Z11*100)</f>
        <v>0.24672971179447728</v>
      </c>
      <c r="D31" s="237" t="s">
        <v>691</v>
      </c>
    </row>
    <row r="32" spans="1:18">
      <c r="A32" s="231" t="s">
        <v>259</v>
      </c>
      <c r="B32" s="33">
        <f>IF(ISERROR(TER_rest_ele_kWh/1000),0,TER_rest_ele_kWh/1000)</f>
        <v>4076.27</v>
      </c>
      <c r="C32" s="39">
        <f>IF(ISERROR(B32*3.6/1000000/'E Balans VL '!Z8*100),0,B32*3.6/1000000/'E Balans VL '!Z8*100)</f>
        <v>3.4340176761566026E-2</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1</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5301.0980500000005</v>
      </c>
      <c r="C5" s="17">
        <f>IF(ISERROR('Eigen informatie GS &amp; warmtenet'!B59),0,'Eigen informatie GS &amp; warmtenet'!B59)</f>
        <v>0</v>
      </c>
      <c r="D5" s="30">
        <f>SUM(D6:D15)</f>
        <v>5289.5858265425632</v>
      </c>
      <c r="E5" s="17">
        <f>SUM(E6:E15)</f>
        <v>402.20396495204346</v>
      </c>
      <c r="F5" s="17">
        <f>SUM(F6:F15)</f>
        <v>6978.8445650760859</v>
      </c>
      <c r="G5" s="18"/>
      <c r="H5" s="17"/>
      <c r="I5" s="17"/>
      <c r="J5" s="17">
        <f>SUM(J6:J15)</f>
        <v>77.853542205591566</v>
      </c>
      <c r="K5" s="17"/>
      <c r="L5" s="17"/>
      <c r="M5" s="17"/>
      <c r="N5" s="17">
        <f>SUM(N6:N15)</f>
        <v>1772.32195918812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72.953050000000005</v>
      </c>
      <c r="C8" s="33"/>
      <c r="D8" s="37">
        <f>IF( ISERROR(IND_metaal_Gas_kWH/1000),0,IND_metaal_Gas_kWH/1000)*0.902</f>
        <v>0</v>
      </c>
      <c r="E8" s="33">
        <f>C30*'E Balans VL '!I18/100/3.6*1000000</f>
        <v>1.8257595112950931</v>
      </c>
      <c r="F8" s="33">
        <f>C30*'E Balans VL '!L18/100/3.6*1000000+C30*'E Balans VL '!N18/100/3.6*1000000</f>
        <v>22.863848757133251</v>
      </c>
      <c r="G8" s="34"/>
      <c r="H8" s="33"/>
      <c r="I8" s="33"/>
      <c r="J8" s="40">
        <f>C30*'E Balans VL '!D18/100/3.6*1000000+C30*'E Balans VL '!E18/100/3.6*1000000</f>
        <v>0</v>
      </c>
      <c r="K8" s="33"/>
      <c r="L8" s="33"/>
      <c r="M8" s="33"/>
      <c r="N8" s="33">
        <f>C30*'E Balans VL '!Y18/100/3.6*1000000</f>
        <v>1.8327699456744251</v>
      </c>
      <c r="O8" s="33"/>
      <c r="P8" s="33"/>
      <c r="R8" s="32"/>
    </row>
    <row r="9" spans="1:18">
      <c r="A9" s="6" t="s">
        <v>32</v>
      </c>
      <c r="B9" s="37">
        <f t="shared" si="0"/>
        <v>1158.809</v>
      </c>
      <c r="C9" s="33"/>
      <c r="D9" s="37">
        <f>IF( ISERROR(IND_andere_gas_kWh/1000),0,IND_andere_gas_kWh/1000)*0.902</f>
        <v>1075.6070356210471</v>
      </c>
      <c r="E9" s="33">
        <f>C31*'E Balans VL '!I19/100/3.6*1000000</f>
        <v>318.62494638444196</v>
      </c>
      <c r="F9" s="33">
        <f>C31*'E Balans VL '!L19/100/3.6*1000000+C31*'E Balans VL '!N19/100/3.6*1000000</f>
        <v>913.34313924386072</v>
      </c>
      <c r="G9" s="34"/>
      <c r="H9" s="33"/>
      <c r="I9" s="33"/>
      <c r="J9" s="40">
        <f>C31*'E Balans VL '!D19/100/3.6*1000000+C31*'E Balans VL '!E19/100/3.6*1000000</f>
        <v>0</v>
      </c>
      <c r="K9" s="33"/>
      <c r="L9" s="33"/>
      <c r="M9" s="33"/>
      <c r="N9" s="33">
        <f>C31*'E Balans VL '!Y19/100/3.6*1000000</f>
        <v>93.354383269833619</v>
      </c>
      <c r="O9" s="33"/>
      <c r="P9" s="33"/>
      <c r="R9" s="32"/>
    </row>
    <row r="10" spans="1:18">
      <c r="A10" s="6" t="s">
        <v>40</v>
      </c>
      <c r="B10" s="37">
        <f t="shared" si="0"/>
        <v>3079.4160000000002</v>
      </c>
      <c r="C10" s="33"/>
      <c r="D10" s="37">
        <f>IF( ISERROR(IND_voed_gas_kWh/1000),0,IND_voed_gas_kWh/1000)*0.902</f>
        <v>322.56764160677199</v>
      </c>
      <c r="E10" s="33">
        <f>C32*'E Balans VL '!I20/100/3.6*1000000</f>
        <v>31.392949660045563</v>
      </c>
      <c r="F10" s="33">
        <f>C32*'E Balans VL '!L20/100/3.6*1000000+C32*'E Balans VL '!N20/100/3.6*1000000</f>
        <v>5816.9975641120964</v>
      </c>
      <c r="G10" s="34"/>
      <c r="H10" s="33"/>
      <c r="I10" s="33"/>
      <c r="J10" s="40">
        <f>C32*'E Balans VL '!D20/100/3.6*1000000+C32*'E Balans VL '!E20/100/3.6*1000000</f>
        <v>73.700500774769594</v>
      </c>
      <c r="K10" s="33"/>
      <c r="L10" s="33"/>
      <c r="M10" s="33"/>
      <c r="N10" s="33">
        <f>C32*'E Balans VL '!Y20/100/3.6*1000000</f>
        <v>1623.2069372279802</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989.92</v>
      </c>
      <c r="C15" s="33"/>
      <c r="D15" s="37">
        <f>IF( ISERROR(IND_rest_gas_kWh/1000),0,IND_rest_gas_kWh/1000)*0.902</f>
        <v>3891.4111493147439</v>
      </c>
      <c r="E15" s="33">
        <f>C37*'E Balans VL '!I15/100/3.6*1000000</f>
        <v>50.36030939626086</v>
      </c>
      <c r="F15" s="33">
        <f>C37*'E Balans VL '!L15/100/3.6*1000000+C37*'E Balans VL '!N15/100/3.6*1000000</f>
        <v>225.6400129629954</v>
      </c>
      <c r="G15" s="34"/>
      <c r="H15" s="33"/>
      <c r="I15" s="33"/>
      <c r="J15" s="40">
        <f>C37*'E Balans VL '!D15/100/3.6*1000000+C37*'E Balans VL '!E15/100/3.6*1000000</f>
        <v>4.1530414308219683</v>
      </c>
      <c r="K15" s="33"/>
      <c r="L15" s="33"/>
      <c r="M15" s="33"/>
      <c r="N15" s="33">
        <f>C37*'E Balans VL '!Y15/100/3.6*1000000</f>
        <v>53.927868744631688</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5301.0980500000005</v>
      </c>
      <c r="C18" s="21">
        <f>C5+C16</f>
        <v>0</v>
      </c>
      <c r="D18" s="21">
        <f>MAX((D5+D16),0)</f>
        <v>5289.5858265425632</v>
      </c>
      <c r="E18" s="21">
        <f>MAX((E5+E16),0)</f>
        <v>402.20396495204346</v>
      </c>
      <c r="F18" s="21">
        <f>MAX((F5+F16),0)</f>
        <v>6978.8445650760859</v>
      </c>
      <c r="G18" s="21"/>
      <c r="H18" s="21"/>
      <c r="I18" s="21"/>
      <c r="J18" s="21">
        <f>MAX((J5+J16),0)</f>
        <v>77.853542205591566</v>
      </c>
      <c r="K18" s="21"/>
      <c r="L18" s="21">
        <f>MAX((L5+L16),0)</f>
        <v>0</v>
      </c>
      <c r="M18" s="21"/>
      <c r="N18" s="21">
        <f>MAX((N5+N16),0)</f>
        <v>1772.32195918812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0.14268994703877447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756.41340000185073</v>
      </c>
      <c r="C22" s="23">
        <f ca="1">C18*C20</f>
        <v>0</v>
      </c>
      <c r="D22" s="23">
        <f>D18*D20</f>
        <v>1068.4963369615978</v>
      </c>
      <c r="E22" s="23">
        <f>E18*E20</f>
        <v>91.300300044113868</v>
      </c>
      <c r="F22" s="23">
        <f>F18*F20</f>
        <v>1863.351498875315</v>
      </c>
      <c r="G22" s="23"/>
      <c r="H22" s="23"/>
      <c r="I22" s="23"/>
      <c r="J22" s="23">
        <f>J18*J20</f>
        <v>27.560153940779411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72.953050000000005</v>
      </c>
      <c r="C30" s="39">
        <f>IF(ISERROR(B30*3.6/1000000/'E Balans VL '!Z18*100),0,B30*3.6/1000000/'E Balans VL '!Z18*100)</f>
        <v>1.0210995812750683E-2</v>
      </c>
      <c r="D30" s="237" t="s">
        <v>691</v>
      </c>
    </row>
    <row r="31" spans="1:18">
      <c r="A31" s="6" t="s">
        <v>32</v>
      </c>
      <c r="B31" s="37">
        <f>IF( ISERROR(IND_ander_ele_kWh/1000),0,IND_ander_ele_kWh/1000)</f>
        <v>1158.809</v>
      </c>
      <c r="C31" s="39">
        <f>IF(ISERROR(B31*3.6/1000000/'E Balans VL '!Z19*100),0,B31*3.6/1000000/'E Balans VL '!Z19*100)</f>
        <v>5.0720881944472281E-2</v>
      </c>
      <c r="D31" s="237" t="s">
        <v>691</v>
      </c>
    </row>
    <row r="32" spans="1:18">
      <c r="A32" s="171" t="s">
        <v>40</v>
      </c>
      <c r="B32" s="37">
        <f>IF( ISERROR(IND_voed_ele_kWh/1000),0,IND_voed_ele_kWh/1000)</f>
        <v>3079.4160000000002</v>
      </c>
      <c r="C32" s="39">
        <f>IF(ISERROR(B32*3.6/1000000/'E Balans VL '!Z20*100),0,B32*3.6/1000000/'E Balans VL '!Z20*100)</f>
        <v>0.76236113923878013</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0</v>
      </c>
      <c r="C34" s="39">
        <f>IF(ISERROR(B34*3.6/1000000/'E Balans VL '!Z22*100),0,B34*3.6/1000000/'E Balans VL '!Z22*100)</f>
        <v>0</v>
      </c>
      <c r="D34" s="237" t="s">
        <v>691</v>
      </c>
    </row>
    <row r="35" spans="1:5">
      <c r="A35" s="171" t="s">
        <v>38</v>
      </c>
      <c r="B35" s="37">
        <f>IF( ISERROR(IND_papier_ele_kWh/1000),0,IND_papier_ele_kWh/1000)</f>
        <v>0</v>
      </c>
      <c r="C35" s="39">
        <f>IF(ISERROR(B35*3.6/1000000/'E Balans VL '!Z22*100),0,B35*3.6/1000000/'E Balans VL '!Z22*100)</f>
        <v>0</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989.92</v>
      </c>
      <c r="C37" s="39">
        <f>IF(ISERROR(B37*3.6/1000000/'E Balans VL '!Z15*100),0,B37*3.6/1000000/'E Balans VL '!Z15*100)</f>
        <v>7.3400873185241458E-3</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264.90328999999997</v>
      </c>
      <c r="C5" s="17">
        <f>'Eigen informatie GS &amp; warmtenet'!B60</f>
        <v>0</v>
      </c>
      <c r="D5" s="30">
        <f>IF(ISERROR(SUM(LB_lb_gas_kWh,LB_rest_gas_kWh)/1000),0,SUM(LB_lb_gas_kWh,LB_rest_gas_kWh)/1000)*0.902</f>
        <v>2412.9740976676376</v>
      </c>
      <c r="E5" s="17">
        <f>B17*'E Balans VL '!I25/3.6*1000000/100</f>
        <v>2.453645223676745</v>
      </c>
      <c r="F5" s="17">
        <f>B17*('E Balans VL '!L25/3.6*1000000+'E Balans VL '!N25/3.6*1000000)/100</f>
        <v>672.11011075495776</v>
      </c>
      <c r="G5" s="18"/>
      <c r="H5" s="17"/>
      <c r="I5" s="17"/>
      <c r="J5" s="17">
        <f>('E Balans VL '!D25+'E Balans VL '!E25)/3.6*1000000*landbouw!B17/100</f>
        <v>40.612630686344723</v>
      </c>
      <c r="K5" s="17"/>
      <c r="L5" s="17">
        <f>L6*(-1)</f>
        <v>0</v>
      </c>
      <c r="M5" s="17"/>
      <c r="N5" s="17">
        <f>N6*(-1)</f>
        <v>0</v>
      </c>
      <c r="O5" s="17"/>
      <c r="P5" s="17"/>
      <c r="R5" s="32"/>
    </row>
    <row r="6" spans="1:18">
      <c r="A6" s="16" t="s">
        <v>493</v>
      </c>
      <c r="B6" s="17" t="s">
        <v>210</v>
      </c>
      <c r="C6" s="17">
        <f>'lokale energieproductie'!O39+'lokale energieproductie'!O32</f>
        <v>0</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264.90328999999997</v>
      </c>
      <c r="C8" s="21">
        <f>C5+C6</f>
        <v>0</v>
      </c>
      <c r="D8" s="21">
        <f>MAX((D5+D6),0)</f>
        <v>2412.9740976676376</v>
      </c>
      <c r="E8" s="21">
        <f>MAX((E5+E6),0)</f>
        <v>2.453645223676745</v>
      </c>
      <c r="F8" s="21">
        <f>MAX((F5+F6),0)</f>
        <v>672.11011075495776</v>
      </c>
      <c r="G8" s="21"/>
      <c r="H8" s="21"/>
      <c r="I8" s="21"/>
      <c r="J8" s="21">
        <f>MAX((J5+J6),0)</f>
        <v>40.612630686344723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0.14268994703877447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37.79903642049711</v>
      </c>
      <c r="C12" s="23">
        <f ca="1">C8*C10</f>
        <v>0</v>
      </c>
      <c r="D12" s="23">
        <f>D8*D10</f>
        <v>487.42076772886281</v>
      </c>
      <c r="E12" s="23">
        <f>E8*E10</f>
        <v>0.55697746577462115</v>
      </c>
      <c r="F12" s="23">
        <f>F8*F10</f>
        <v>179.45339957157373</v>
      </c>
      <c r="G12" s="23"/>
      <c r="H12" s="23"/>
      <c r="I12" s="23"/>
      <c r="J12" s="23">
        <f>J8*J10</f>
        <v>14.376871262966031</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3.7663630917372487E-2</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60.633751273016472</v>
      </c>
      <c r="C26" s="247">
        <f>B26*'GWP N2O_CH4'!B5</f>
        <v>1273.3087767333459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14.896537309206369</v>
      </c>
      <c r="C27" s="247">
        <f>B27*'GWP N2O_CH4'!B5</f>
        <v>312.82728349333377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0.69352974594918826</v>
      </c>
      <c r="C28" s="247">
        <f>B28*'GWP N2O_CH4'!B4</f>
        <v>214.99422124424837</v>
      </c>
      <c r="D28" s="50"/>
    </row>
    <row r="29" spans="1:4">
      <c r="A29" s="41" t="s">
        <v>276</v>
      </c>
      <c r="B29" s="247">
        <f>B34*'ha_N2O bodem landbouw'!B4</f>
        <v>3.1112999593670074</v>
      </c>
      <c r="C29" s="247">
        <f>B29*'GWP N2O_CH4'!B4</f>
        <v>964.50298740377229</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6.9780976814899274E-4</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1.0389908154163999E-4</v>
      </c>
      <c r="C5" s="438" t="s">
        <v>210</v>
      </c>
      <c r="D5" s="423">
        <f>SUM(D6:D11)</f>
        <v>1.8837672269084554E-4</v>
      </c>
      <c r="E5" s="423">
        <f>SUM(E6:E11)</f>
        <v>2.1646698012556271E-3</v>
      </c>
      <c r="F5" s="436" t="s">
        <v>210</v>
      </c>
      <c r="G5" s="423">
        <f>SUM(G6:G11)</f>
        <v>0.72426015702885715</v>
      </c>
      <c r="H5" s="423">
        <f>SUM(H6:H11)</f>
        <v>0.11918171830324605</v>
      </c>
      <c r="I5" s="438" t="s">
        <v>210</v>
      </c>
      <c r="J5" s="438" t="s">
        <v>210</v>
      </c>
      <c r="K5" s="438" t="s">
        <v>210</v>
      </c>
      <c r="L5" s="438" t="s">
        <v>210</v>
      </c>
      <c r="M5" s="423">
        <f>SUM(M6:M11)</f>
        <v>4.5625924388800969E-2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1.7627734498670099E-5</v>
      </c>
      <c r="C6" s="424"/>
      <c r="D6" s="866">
        <f>vkm_GW_PW*SUMIFS(TableVerdeelsleutelVkm[CNG],TableVerdeelsleutelVkm[Voertuigtype],"Lichte voertuigen")*SUMIFS(TableECFTransport[EnergieConsumptieFactor (PJ per km)],TableECFTransport[Index],CONCATENATE($A6,"_CNG_CNG"))</f>
        <v>3.0760123247197926E-5</v>
      </c>
      <c r="E6" s="866">
        <f>vkm_GW_PW*SUMIFS(TableVerdeelsleutelVkm[LPG],TableVerdeelsleutelVkm[Voertuigtype],"Lichte voertuigen")*SUMIFS(TableECFTransport[EnergieConsumptieFactor (PJ per km)],TableECFTransport[Index],CONCATENATE($A6,"_LPG_LPG"))</f>
        <v>2.9792691447156917E-4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7.0017951309281623E-2</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1.883732221548684E-2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4.6340337851962596E-3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3.6427388276642825E-2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7.0644284701218449E-7</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2.1119776187526014E-3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4.2459577351617996E-6</v>
      </c>
      <c r="C8" s="424"/>
      <c r="D8" s="426">
        <f>vkm_NGW_PW*SUMIFS(TableVerdeelsleutelVkm[CNG],TableVerdeelsleutelVkm[Voertuigtype],"Lichte voertuigen")*SUMIFS(TableECFTransport[EnergieConsumptieFactor (PJ per km)],TableECFTransport[Index],CONCATENATE($A8,"_CNG_CNG"))</f>
        <v>1.2687140722256067E-5</v>
      </c>
      <c r="E8" s="426">
        <f>vkm_NGW_PW*SUMIFS(TableVerdeelsleutelVkm[LPG],TableVerdeelsleutelVkm[Voertuigtype],"Lichte voertuigen")*SUMIFS(TableECFTransport[EnergieConsumptieFactor (PJ per km)],TableECFTransport[Index],CONCATENATE($A8,"_LPG_LPG"))</f>
        <v>1.1628913956918779E-4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2.5653593952519368E-2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7.5018136484361099E-3</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1.7161491675281217E-3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9.1865931267570179E-3</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2.2067837448199959E-7</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5.3261919783826131E-4</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8.2025389307808092E-5</v>
      </c>
      <c r="C10" s="424"/>
      <c r="D10" s="426">
        <f>vkm_SW_PW*SUMIFS(TableVerdeelsleutelVkm[CNG],TableVerdeelsleutelVkm[Voertuigtype],"Lichte voertuigen")*SUMIFS(TableECFTransport[EnergieConsumptieFactor (PJ per km)],TableECFTransport[Index],CONCATENATE($A10,"_CNG_CNG"))</f>
        <v>1.4492945872139154E-4</v>
      </c>
      <c r="E10" s="426">
        <f>vkm_SW_PW*SUMIFS(TableVerdeelsleutelVkm[LPG],TableVerdeelsleutelVkm[Voertuigtype],"Lichte voertuigen")*SUMIFS(TableECFTransport[EnergieConsumptieFactor (PJ per km)],TableECFTransport[Index],CONCATENATE($A10,"_LPG_LPG"))</f>
        <v>1.75045374721487E-3</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0.36990778196093083</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9.2837264902592892E-2</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2.4278002560687784E-2</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0.21306684840272549</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4.3904155087154255E-6</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1.2353142058797945E-2</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28.860855983788884</v>
      </c>
      <c r="C14" s="21"/>
      <c r="D14" s="21">
        <f t="shared" ref="D14:M14" si="0">((D5)*10^9/3600)+D12</f>
        <v>52.326867414123761</v>
      </c>
      <c r="E14" s="21">
        <f t="shared" si="0"/>
        <v>601.29716701545192</v>
      </c>
      <c r="F14" s="21"/>
      <c r="G14" s="21">
        <f t="shared" si="0"/>
        <v>201183.3769524603</v>
      </c>
      <c r="H14" s="21">
        <f t="shared" si="0"/>
        <v>33106.032862012791</v>
      </c>
      <c r="I14" s="21"/>
      <c r="J14" s="21"/>
      <c r="K14" s="21"/>
      <c r="L14" s="21"/>
      <c r="M14" s="21">
        <f t="shared" si="0"/>
        <v>12673.867885778047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0.14268994703877447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4.1181540118205326</v>
      </c>
      <c r="C18" s="23"/>
      <c r="D18" s="23">
        <f t="shared" ref="D18:M18" si="1">D14*D16</f>
        <v>10.570027217653001</v>
      </c>
      <c r="E18" s="23">
        <f t="shared" si="1"/>
        <v>136.49445691250759</v>
      </c>
      <c r="F18" s="23"/>
      <c r="G18" s="23">
        <f t="shared" si="1"/>
        <v>53715.961646306903</v>
      </c>
      <c r="H18" s="23">
        <f t="shared" si="1"/>
        <v>8243.4021826411845</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1.2698801188688409E-3</v>
      </c>
      <c r="C50" s="319">
        <f t="shared" ref="C50:P50" si="2">SUM(C51:C52)</f>
        <v>0</v>
      </c>
      <c r="D50" s="319">
        <f t="shared" si="2"/>
        <v>0</v>
      </c>
      <c r="E50" s="319">
        <f t="shared" si="2"/>
        <v>0</v>
      </c>
      <c r="F50" s="319">
        <f t="shared" si="2"/>
        <v>0</v>
      </c>
      <c r="G50" s="319">
        <f t="shared" si="2"/>
        <v>3.6311635358780071E-3</v>
      </c>
      <c r="H50" s="319">
        <f t="shared" si="2"/>
        <v>0</v>
      </c>
      <c r="I50" s="319">
        <f t="shared" si="2"/>
        <v>0</v>
      </c>
      <c r="J50" s="319">
        <f t="shared" si="2"/>
        <v>0</v>
      </c>
      <c r="K50" s="319">
        <f t="shared" si="2"/>
        <v>0</v>
      </c>
      <c r="L50" s="319">
        <f t="shared" si="2"/>
        <v>0</v>
      </c>
      <c r="M50" s="319">
        <f t="shared" si="2"/>
        <v>2.0754625550968526E-4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3.6311635358780071E-3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2.0754625550968526E-4</v>
      </c>
      <c r="N51" s="321"/>
      <c r="O51" s="321"/>
      <c r="P51" s="324"/>
    </row>
    <row r="52" spans="1:18">
      <c r="A52" s="4" t="s">
        <v>329</v>
      </c>
      <c r="B52" s="867">
        <f>vkm_tram*SUMIFS(TableECFTransport[EnergieConsumptieFactor (PJ per km)],TableECFTransport[Index],"Tram_gemiddeld_Electric_Electric")</f>
        <v>1.2698801188688409E-3</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352.74447746356691</v>
      </c>
      <c r="C54" s="21">
        <f t="shared" ref="C54:P54" si="3">(C50)*10^9/3600</f>
        <v>0</v>
      </c>
      <c r="D54" s="21">
        <f t="shared" si="3"/>
        <v>0</v>
      </c>
      <c r="E54" s="21">
        <f t="shared" si="3"/>
        <v>0</v>
      </c>
      <c r="F54" s="21">
        <f t="shared" si="3"/>
        <v>0</v>
      </c>
      <c r="G54" s="21">
        <f t="shared" si="3"/>
        <v>1008.6565377438909</v>
      </c>
      <c r="H54" s="21">
        <f t="shared" si="3"/>
        <v>0</v>
      </c>
      <c r="I54" s="21">
        <f t="shared" si="3"/>
        <v>0</v>
      </c>
      <c r="J54" s="21">
        <f t="shared" si="3"/>
        <v>0</v>
      </c>
      <c r="K54" s="21">
        <f t="shared" si="3"/>
        <v>0</v>
      </c>
      <c r="L54" s="21">
        <f t="shared" si="3"/>
        <v>0</v>
      </c>
      <c r="M54" s="21">
        <f t="shared" si="3"/>
        <v>57.651737641579238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0.14268994703877447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50.333090807496539</v>
      </c>
      <c r="C58" s="23">
        <f t="shared" ref="C58:P58" ca="1" si="4">C54*C56</f>
        <v>0</v>
      </c>
      <c r="D58" s="23">
        <f t="shared" si="4"/>
        <v>0</v>
      </c>
      <c r="E58" s="23">
        <f t="shared" si="4"/>
        <v>0</v>
      </c>
      <c r="F58" s="23">
        <f t="shared" si="4"/>
        <v>0</v>
      </c>
      <c r="G58" s="23">
        <f t="shared" si="4"/>
        <v>269.31129557761886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14748.012600000002</v>
      </c>
      <c r="D10" s="991">
        <f ca="1">tertiair!C16</f>
        <v>0</v>
      </c>
      <c r="E10" s="991">
        <f ca="1">tertiair!D16</f>
        <v>20648.929301293294</v>
      </c>
      <c r="F10" s="991">
        <f>tertiair!E16</f>
        <v>136.08203306252472</v>
      </c>
      <c r="G10" s="991">
        <f ca="1">tertiair!F16</f>
        <v>2188.5455798809085</v>
      </c>
      <c r="H10" s="991">
        <f>tertiair!G16</f>
        <v>0</v>
      </c>
      <c r="I10" s="991">
        <f>tertiair!H16</f>
        <v>0</v>
      </c>
      <c r="J10" s="991">
        <f>tertiair!I16</f>
        <v>0</v>
      </c>
      <c r="K10" s="991">
        <f>tertiair!J16</f>
        <v>0</v>
      </c>
      <c r="L10" s="991">
        <f>tertiair!K16</f>
        <v>0</v>
      </c>
      <c r="M10" s="991">
        <f ca="1">tertiair!L16</f>
        <v>0</v>
      </c>
      <c r="N10" s="991">
        <f>tertiair!M16</f>
        <v>0</v>
      </c>
      <c r="O10" s="991">
        <f ca="1">tertiair!N16</f>
        <v>1164.4660919158948</v>
      </c>
      <c r="P10" s="991">
        <f>tertiair!O16</f>
        <v>1.5633333333333335</v>
      </c>
      <c r="Q10" s="992">
        <f>tertiair!P16</f>
        <v>19.066666666666666</v>
      </c>
      <c r="R10" s="675">
        <f ca="1">SUM(C10:Q10)</f>
        <v>38906.665606152616</v>
      </c>
      <c r="S10" s="67"/>
    </row>
    <row r="11" spans="1:19" s="448" customFormat="1">
      <c r="A11" s="784" t="s">
        <v>224</v>
      </c>
      <c r="B11" s="789"/>
      <c r="C11" s="991">
        <f>huishoudens!B8</f>
        <v>21222.081633888843</v>
      </c>
      <c r="D11" s="991">
        <f>huishoudens!C8</f>
        <v>0</v>
      </c>
      <c r="E11" s="991">
        <f>huishoudens!D8</f>
        <v>46723.159060687285</v>
      </c>
      <c r="F11" s="991">
        <f>huishoudens!E8</f>
        <v>3921.2824225278973</v>
      </c>
      <c r="G11" s="991">
        <f>huishoudens!F8</f>
        <v>3311.1534225735031</v>
      </c>
      <c r="H11" s="991">
        <f>huishoudens!G8</f>
        <v>0</v>
      </c>
      <c r="I11" s="991">
        <f>huishoudens!H8</f>
        <v>0</v>
      </c>
      <c r="J11" s="991">
        <f>huishoudens!I8</f>
        <v>0</v>
      </c>
      <c r="K11" s="991">
        <f>huishoudens!J8</f>
        <v>0</v>
      </c>
      <c r="L11" s="991">
        <f>huishoudens!K8</f>
        <v>0</v>
      </c>
      <c r="M11" s="991">
        <f>huishoudens!L8</f>
        <v>0</v>
      </c>
      <c r="N11" s="991">
        <f>huishoudens!M8</f>
        <v>0</v>
      </c>
      <c r="O11" s="991">
        <f>huishoudens!N8</f>
        <v>5901.3447976119851</v>
      </c>
      <c r="P11" s="991">
        <f>huishoudens!O8</f>
        <v>128.19333333333336</v>
      </c>
      <c r="Q11" s="992">
        <f>huishoudens!P8</f>
        <v>190.66666666666669</v>
      </c>
      <c r="R11" s="675">
        <f>SUM(C11:Q11)</f>
        <v>81397.881337289524</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5301.0980500000005</v>
      </c>
      <c r="D13" s="991">
        <f>industrie!C18</f>
        <v>0</v>
      </c>
      <c r="E13" s="991">
        <f>industrie!D18</f>
        <v>5289.5858265425632</v>
      </c>
      <c r="F13" s="991">
        <f>industrie!E18</f>
        <v>402.20396495204346</v>
      </c>
      <c r="G13" s="991">
        <f>industrie!F18</f>
        <v>6978.8445650760859</v>
      </c>
      <c r="H13" s="991">
        <f>industrie!G18</f>
        <v>0</v>
      </c>
      <c r="I13" s="991">
        <f>industrie!H18</f>
        <v>0</v>
      </c>
      <c r="J13" s="991">
        <f>industrie!I18</f>
        <v>0</v>
      </c>
      <c r="K13" s="991">
        <f>industrie!J18</f>
        <v>77.853542205591566</v>
      </c>
      <c r="L13" s="991">
        <f>industrie!K18</f>
        <v>0</v>
      </c>
      <c r="M13" s="991">
        <f>industrie!L18</f>
        <v>0</v>
      </c>
      <c r="N13" s="991">
        <f>industrie!M18</f>
        <v>0</v>
      </c>
      <c r="O13" s="991">
        <f>industrie!N18</f>
        <v>1772.32195918812</v>
      </c>
      <c r="P13" s="991">
        <f>industrie!O18</f>
        <v>0</v>
      </c>
      <c r="Q13" s="992">
        <f>industrie!P18</f>
        <v>0</v>
      </c>
      <c r="R13" s="675">
        <f>SUM(C13:Q13)</f>
        <v>19821.907907964403</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41271.192283888842</v>
      </c>
      <c r="D16" s="707">
        <f t="shared" ref="D16:R16" ca="1" si="0">SUM(D9:D15)</f>
        <v>0</v>
      </c>
      <c r="E16" s="707">
        <f t="shared" ca="1" si="0"/>
        <v>72661.674188523146</v>
      </c>
      <c r="F16" s="707">
        <f t="shared" si="0"/>
        <v>4459.5684205424659</v>
      </c>
      <c r="G16" s="707">
        <f t="shared" ca="1" si="0"/>
        <v>12478.543567530498</v>
      </c>
      <c r="H16" s="707">
        <f t="shared" si="0"/>
        <v>0</v>
      </c>
      <c r="I16" s="707">
        <f t="shared" si="0"/>
        <v>0</v>
      </c>
      <c r="J16" s="707">
        <f t="shared" si="0"/>
        <v>0</v>
      </c>
      <c r="K16" s="707">
        <f t="shared" si="0"/>
        <v>77.853542205591566</v>
      </c>
      <c r="L16" s="707">
        <f t="shared" si="0"/>
        <v>0</v>
      </c>
      <c r="M16" s="707">
        <f t="shared" ca="1" si="0"/>
        <v>0</v>
      </c>
      <c r="N16" s="707">
        <f t="shared" si="0"/>
        <v>0</v>
      </c>
      <c r="O16" s="707">
        <f t="shared" ca="1" si="0"/>
        <v>8838.1328487160008</v>
      </c>
      <c r="P16" s="707">
        <f t="shared" si="0"/>
        <v>129.75666666666669</v>
      </c>
      <c r="Q16" s="707">
        <f t="shared" si="0"/>
        <v>209.73333333333335</v>
      </c>
      <c r="R16" s="707">
        <f t="shared" ca="1" si="0"/>
        <v>140126.45485140654</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352.74447746356691</v>
      </c>
      <c r="D19" s="991">
        <f>transport!C54</f>
        <v>0</v>
      </c>
      <c r="E19" s="991">
        <f>transport!D54</f>
        <v>0</v>
      </c>
      <c r="F19" s="991">
        <f>transport!E54</f>
        <v>0</v>
      </c>
      <c r="G19" s="991">
        <f>transport!F54</f>
        <v>0</v>
      </c>
      <c r="H19" s="991">
        <f>transport!G54</f>
        <v>1008.6565377438909</v>
      </c>
      <c r="I19" s="991">
        <f>transport!H54</f>
        <v>0</v>
      </c>
      <c r="J19" s="991">
        <f>transport!I54</f>
        <v>0</v>
      </c>
      <c r="K19" s="991">
        <f>transport!J54</f>
        <v>0</v>
      </c>
      <c r="L19" s="991">
        <f>transport!K54</f>
        <v>0</v>
      </c>
      <c r="M19" s="991">
        <f>transport!L54</f>
        <v>0</v>
      </c>
      <c r="N19" s="991">
        <f>transport!M54</f>
        <v>57.651737641579238</v>
      </c>
      <c r="O19" s="991">
        <f>transport!N54</f>
        <v>0</v>
      </c>
      <c r="P19" s="991">
        <f>transport!O54</f>
        <v>0</v>
      </c>
      <c r="Q19" s="992">
        <f>transport!P54</f>
        <v>0</v>
      </c>
      <c r="R19" s="675">
        <f>SUM(C19:Q19)</f>
        <v>1419.0527528490372</v>
      </c>
      <c r="S19" s="67"/>
    </row>
    <row r="20" spans="1:19" s="448" customFormat="1">
      <c r="A20" s="784" t="s">
        <v>306</v>
      </c>
      <c r="B20" s="789"/>
      <c r="C20" s="991">
        <f>transport!B14</f>
        <v>28.860855983788884</v>
      </c>
      <c r="D20" s="991">
        <f>transport!C14</f>
        <v>0</v>
      </c>
      <c r="E20" s="991">
        <f>transport!D14</f>
        <v>52.326867414123761</v>
      </c>
      <c r="F20" s="991">
        <f>transport!E14</f>
        <v>601.29716701545192</v>
      </c>
      <c r="G20" s="991">
        <f>transport!F14</f>
        <v>0</v>
      </c>
      <c r="H20" s="991">
        <f>transport!G14</f>
        <v>201183.3769524603</v>
      </c>
      <c r="I20" s="991">
        <f>transport!H14</f>
        <v>33106.032862012791</v>
      </c>
      <c r="J20" s="991">
        <f>transport!I14</f>
        <v>0</v>
      </c>
      <c r="K20" s="991">
        <f>transport!J14</f>
        <v>0</v>
      </c>
      <c r="L20" s="991">
        <f>transport!K14</f>
        <v>0</v>
      </c>
      <c r="M20" s="991">
        <f>transport!L14</f>
        <v>0</v>
      </c>
      <c r="N20" s="991">
        <f>transport!M14</f>
        <v>12673.867885778047</v>
      </c>
      <c r="O20" s="991">
        <f>transport!N14</f>
        <v>0</v>
      </c>
      <c r="P20" s="991">
        <f>transport!O14</f>
        <v>0</v>
      </c>
      <c r="Q20" s="992">
        <f>transport!P14</f>
        <v>0</v>
      </c>
      <c r="R20" s="675">
        <f>SUM(C20:Q20)</f>
        <v>247645.7625906645</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381.6053334473558</v>
      </c>
      <c r="D22" s="787">
        <f t="shared" ref="D22:R22" si="1">SUM(D18:D21)</f>
        <v>0</v>
      </c>
      <c r="E22" s="787">
        <f t="shared" si="1"/>
        <v>52.326867414123761</v>
      </c>
      <c r="F22" s="787">
        <f t="shared" si="1"/>
        <v>601.29716701545192</v>
      </c>
      <c r="G22" s="787">
        <f t="shared" si="1"/>
        <v>0</v>
      </c>
      <c r="H22" s="787">
        <f t="shared" si="1"/>
        <v>202192.03349020419</v>
      </c>
      <c r="I22" s="787">
        <f t="shared" si="1"/>
        <v>33106.032862012791</v>
      </c>
      <c r="J22" s="787">
        <f t="shared" si="1"/>
        <v>0</v>
      </c>
      <c r="K22" s="787">
        <f t="shared" si="1"/>
        <v>0</v>
      </c>
      <c r="L22" s="787">
        <f t="shared" si="1"/>
        <v>0</v>
      </c>
      <c r="M22" s="787">
        <f t="shared" si="1"/>
        <v>0</v>
      </c>
      <c r="N22" s="787">
        <f t="shared" si="1"/>
        <v>12731.519623419626</v>
      </c>
      <c r="O22" s="787">
        <f t="shared" si="1"/>
        <v>0</v>
      </c>
      <c r="P22" s="787">
        <f t="shared" si="1"/>
        <v>0</v>
      </c>
      <c r="Q22" s="787">
        <f t="shared" si="1"/>
        <v>0</v>
      </c>
      <c r="R22" s="787">
        <f t="shared" si="1"/>
        <v>249064.81534351353</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264.90328999999997</v>
      </c>
      <c r="D24" s="991">
        <f>+landbouw!C8</f>
        <v>0</v>
      </c>
      <c r="E24" s="991">
        <f>+landbouw!D8</f>
        <v>2412.9740976676376</v>
      </c>
      <c r="F24" s="991">
        <f>+landbouw!E8</f>
        <v>2.453645223676745</v>
      </c>
      <c r="G24" s="991">
        <f>+landbouw!F8</f>
        <v>672.11011075495776</v>
      </c>
      <c r="H24" s="991">
        <f>+landbouw!G8</f>
        <v>0</v>
      </c>
      <c r="I24" s="991">
        <f>+landbouw!H8</f>
        <v>0</v>
      </c>
      <c r="J24" s="991">
        <f>+landbouw!I8</f>
        <v>0</v>
      </c>
      <c r="K24" s="991">
        <f>+landbouw!J8</f>
        <v>40.612630686344723</v>
      </c>
      <c r="L24" s="991">
        <f>+landbouw!K8</f>
        <v>0</v>
      </c>
      <c r="M24" s="991">
        <f>+landbouw!L8</f>
        <v>0</v>
      </c>
      <c r="N24" s="991">
        <f>+landbouw!M8</f>
        <v>0</v>
      </c>
      <c r="O24" s="991">
        <f>+landbouw!N8</f>
        <v>0</v>
      </c>
      <c r="P24" s="991">
        <f>+landbouw!O8</f>
        <v>0</v>
      </c>
      <c r="Q24" s="992">
        <f>+landbouw!P8</f>
        <v>0</v>
      </c>
      <c r="R24" s="675">
        <f>SUM(C24:Q24)</f>
        <v>3393.0537743326172</v>
      </c>
      <c r="S24" s="67"/>
    </row>
    <row r="25" spans="1:19" s="448" customFormat="1" ht="15" thickBot="1">
      <c r="A25" s="806" t="s">
        <v>849</v>
      </c>
      <c r="B25" s="994"/>
      <c r="C25" s="995">
        <f>IF(Onbekend_ele_kWh="---",0,Onbekend_ele_kWh)/1000+IF(REST_rest_ele_kWh="---",0,REST_rest_ele_kWh)/1000</f>
        <v>599.67219999999998</v>
      </c>
      <c r="D25" s="995"/>
      <c r="E25" s="995">
        <f>IF(onbekend_gas_kWh="---",0,onbekend_gas_kWh)/1000+IF(REST_rest_gas_kWh="---",0,REST_rest_gas_kWh)/1000</f>
        <v>3406.56858651625</v>
      </c>
      <c r="F25" s="995"/>
      <c r="G25" s="995"/>
      <c r="H25" s="995"/>
      <c r="I25" s="995"/>
      <c r="J25" s="995"/>
      <c r="K25" s="995"/>
      <c r="L25" s="995"/>
      <c r="M25" s="995"/>
      <c r="N25" s="995"/>
      <c r="O25" s="995"/>
      <c r="P25" s="995"/>
      <c r="Q25" s="996"/>
      <c r="R25" s="675">
        <f>SUM(C25:Q25)</f>
        <v>4006.24078651625</v>
      </c>
      <c r="S25" s="67"/>
    </row>
    <row r="26" spans="1:19" s="448" customFormat="1" ht="15.75" thickBot="1">
      <c r="A26" s="680" t="s">
        <v>850</v>
      </c>
      <c r="B26" s="792"/>
      <c r="C26" s="787">
        <f>SUM(C24:C25)</f>
        <v>864.57548999999995</v>
      </c>
      <c r="D26" s="787">
        <f t="shared" ref="D26:R26" si="2">SUM(D24:D25)</f>
        <v>0</v>
      </c>
      <c r="E26" s="787">
        <f t="shared" si="2"/>
        <v>5819.5426841838871</v>
      </c>
      <c r="F26" s="787">
        <f t="shared" si="2"/>
        <v>2.453645223676745</v>
      </c>
      <c r="G26" s="787">
        <f t="shared" si="2"/>
        <v>672.11011075495776</v>
      </c>
      <c r="H26" s="787">
        <f t="shared" si="2"/>
        <v>0</v>
      </c>
      <c r="I26" s="787">
        <f t="shared" si="2"/>
        <v>0</v>
      </c>
      <c r="J26" s="787">
        <f t="shared" si="2"/>
        <v>0</v>
      </c>
      <c r="K26" s="787">
        <f t="shared" si="2"/>
        <v>40.612630686344723</v>
      </c>
      <c r="L26" s="787">
        <f t="shared" si="2"/>
        <v>0</v>
      </c>
      <c r="M26" s="787">
        <f t="shared" si="2"/>
        <v>0</v>
      </c>
      <c r="N26" s="787">
        <f t="shared" si="2"/>
        <v>0</v>
      </c>
      <c r="O26" s="787">
        <f t="shared" si="2"/>
        <v>0</v>
      </c>
      <c r="P26" s="787">
        <f t="shared" si="2"/>
        <v>0</v>
      </c>
      <c r="Q26" s="787">
        <f t="shared" si="2"/>
        <v>0</v>
      </c>
      <c r="R26" s="787">
        <f t="shared" si="2"/>
        <v>7399.2945608488671</v>
      </c>
      <c r="S26" s="67"/>
    </row>
    <row r="27" spans="1:19" s="448" customFormat="1" ht="17.25" thickTop="1" thickBot="1">
      <c r="A27" s="681" t="s">
        <v>115</v>
      </c>
      <c r="B27" s="780"/>
      <c r="C27" s="682">
        <f ca="1">C22+C16+C26</f>
        <v>42517.3731073362</v>
      </c>
      <c r="D27" s="682">
        <f t="shared" ref="D27:R27" ca="1" si="3">D22+D16+D26</f>
        <v>0</v>
      </c>
      <c r="E27" s="682">
        <f t="shared" ca="1" si="3"/>
        <v>78533.543740121168</v>
      </c>
      <c r="F27" s="682">
        <f t="shared" si="3"/>
        <v>5063.319232781595</v>
      </c>
      <c r="G27" s="682">
        <f t="shared" ca="1" si="3"/>
        <v>13150.653678285456</v>
      </c>
      <c r="H27" s="682">
        <f t="shared" si="3"/>
        <v>202192.03349020419</v>
      </c>
      <c r="I27" s="682">
        <f t="shared" si="3"/>
        <v>33106.032862012791</v>
      </c>
      <c r="J27" s="682">
        <f t="shared" si="3"/>
        <v>0</v>
      </c>
      <c r="K27" s="682">
        <f t="shared" si="3"/>
        <v>118.46617289193628</v>
      </c>
      <c r="L27" s="682">
        <f t="shared" si="3"/>
        <v>0</v>
      </c>
      <c r="M27" s="682">
        <f t="shared" ca="1" si="3"/>
        <v>0</v>
      </c>
      <c r="N27" s="682">
        <f t="shared" si="3"/>
        <v>12731.519623419626</v>
      </c>
      <c r="O27" s="682">
        <f t="shared" ca="1" si="3"/>
        <v>8838.1328487160008</v>
      </c>
      <c r="P27" s="682">
        <f t="shared" si="3"/>
        <v>129.75666666666669</v>
      </c>
      <c r="Q27" s="682">
        <f t="shared" si="3"/>
        <v>209.73333333333335</v>
      </c>
      <c r="R27" s="682">
        <f t="shared" ca="1" si="3"/>
        <v>396590.56475576892</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2104.3931368211788</v>
      </c>
      <c r="D40" s="991">
        <f ca="1">tertiair!C20</f>
        <v>0</v>
      </c>
      <c r="E40" s="991">
        <f ca="1">tertiair!D20</f>
        <v>4171.0837188612459</v>
      </c>
      <c r="F40" s="991">
        <f>tertiair!E20</f>
        <v>30.89062150519311</v>
      </c>
      <c r="G40" s="991">
        <f ca="1">tertiair!F20</f>
        <v>584.34166982820261</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6890.7091470158202</v>
      </c>
    </row>
    <row r="41" spans="1:18">
      <c r="A41" s="797" t="s">
        <v>224</v>
      </c>
      <c r="B41" s="804"/>
      <c r="C41" s="991">
        <f ca="1">huishoudens!B12</f>
        <v>3028.1777043921475</v>
      </c>
      <c r="D41" s="991">
        <f ca="1">huishoudens!C12</f>
        <v>0</v>
      </c>
      <c r="E41" s="991">
        <f>huishoudens!D12</f>
        <v>9438.078130258833</v>
      </c>
      <c r="F41" s="991">
        <f>huishoudens!E12</f>
        <v>890.13110991383269</v>
      </c>
      <c r="G41" s="991">
        <f>huishoudens!F12</f>
        <v>884.07796382712536</v>
      </c>
      <c r="H41" s="991">
        <f>huishoudens!G12</f>
        <v>0</v>
      </c>
      <c r="I41" s="991">
        <f>huishoudens!H12</f>
        <v>0</v>
      </c>
      <c r="J41" s="991">
        <f>huishoudens!I12</f>
        <v>0</v>
      </c>
      <c r="K41" s="991">
        <f>huishoudens!J12</f>
        <v>0</v>
      </c>
      <c r="L41" s="991">
        <f>huishoudens!K12</f>
        <v>0</v>
      </c>
      <c r="M41" s="991">
        <f>huishoudens!L12</f>
        <v>0</v>
      </c>
      <c r="N41" s="991">
        <f>huishoudens!M12</f>
        <v>0</v>
      </c>
      <c r="O41" s="991">
        <f>huishoudens!N12</f>
        <v>0</v>
      </c>
      <c r="P41" s="991">
        <f>huishoudens!O12</f>
        <v>0</v>
      </c>
      <c r="Q41" s="749">
        <f>huishoudens!P12</f>
        <v>0</v>
      </c>
      <c r="R41" s="825">
        <f t="shared" ca="1" si="4"/>
        <v>14240.464908391938</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756.41340000185073</v>
      </c>
      <c r="D43" s="991">
        <f ca="1">industrie!C22</f>
        <v>0</v>
      </c>
      <c r="E43" s="991">
        <f>industrie!D22</f>
        <v>1068.4963369615978</v>
      </c>
      <c r="F43" s="991">
        <f>industrie!E22</f>
        <v>91.300300044113868</v>
      </c>
      <c r="G43" s="991">
        <f>industrie!F22</f>
        <v>1863.351498875315</v>
      </c>
      <c r="H43" s="991">
        <f>industrie!G22</f>
        <v>0</v>
      </c>
      <c r="I43" s="991">
        <f>industrie!H22</f>
        <v>0</v>
      </c>
      <c r="J43" s="991">
        <f>industrie!I22</f>
        <v>0</v>
      </c>
      <c r="K43" s="991">
        <f>industrie!J22</f>
        <v>27.560153940779411</v>
      </c>
      <c r="L43" s="991">
        <f>industrie!K22</f>
        <v>0</v>
      </c>
      <c r="M43" s="991">
        <f>industrie!L22</f>
        <v>0</v>
      </c>
      <c r="N43" s="991">
        <f>industrie!M22</f>
        <v>0</v>
      </c>
      <c r="O43" s="991">
        <f>industrie!N22</f>
        <v>0</v>
      </c>
      <c r="P43" s="991">
        <f>industrie!O22</f>
        <v>0</v>
      </c>
      <c r="Q43" s="749">
        <f>industrie!P22</f>
        <v>0</v>
      </c>
      <c r="R43" s="824">
        <f t="shared" ca="1" si="4"/>
        <v>3807.1216898236567</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5888.9842412151775</v>
      </c>
      <c r="D46" s="707">
        <f t="shared" ref="D46:Q46" ca="1" si="5">SUM(D39:D45)</f>
        <v>0</v>
      </c>
      <c r="E46" s="707">
        <f t="shared" ca="1" si="5"/>
        <v>14677.658186081677</v>
      </c>
      <c r="F46" s="707">
        <f t="shared" si="5"/>
        <v>1012.3220314631398</v>
      </c>
      <c r="G46" s="707">
        <f t="shared" ca="1" si="5"/>
        <v>3331.7711325306427</v>
      </c>
      <c r="H46" s="707">
        <f t="shared" si="5"/>
        <v>0</v>
      </c>
      <c r="I46" s="707">
        <f t="shared" si="5"/>
        <v>0</v>
      </c>
      <c r="J46" s="707">
        <f t="shared" si="5"/>
        <v>0</v>
      </c>
      <c r="K46" s="707">
        <f t="shared" si="5"/>
        <v>27.560153940779411</v>
      </c>
      <c r="L46" s="707">
        <f t="shared" si="5"/>
        <v>0</v>
      </c>
      <c r="M46" s="707">
        <f t="shared" ca="1" si="5"/>
        <v>0</v>
      </c>
      <c r="N46" s="707">
        <f t="shared" si="5"/>
        <v>0</v>
      </c>
      <c r="O46" s="707">
        <f t="shared" ca="1" si="5"/>
        <v>0</v>
      </c>
      <c r="P46" s="707">
        <f t="shared" si="5"/>
        <v>0</v>
      </c>
      <c r="Q46" s="707">
        <f t="shared" si="5"/>
        <v>0</v>
      </c>
      <c r="R46" s="707">
        <f ca="1">SUM(R39:R45)</f>
        <v>24938.295745231415</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50.333090807496539</v>
      </c>
      <c r="D49" s="991">
        <f ca="1">transport!C58</f>
        <v>0</v>
      </c>
      <c r="E49" s="991">
        <f>transport!D58</f>
        <v>0</v>
      </c>
      <c r="F49" s="991">
        <f>transport!E58</f>
        <v>0</v>
      </c>
      <c r="G49" s="991">
        <f>transport!F58</f>
        <v>0</v>
      </c>
      <c r="H49" s="991">
        <f>transport!G58</f>
        <v>269.31129557761886</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319.64438638511541</v>
      </c>
    </row>
    <row r="50" spans="1:18">
      <c r="A50" s="800" t="s">
        <v>306</v>
      </c>
      <c r="B50" s="810"/>
      <c r="C50" s="678">
        <f ca="1">transport!B18</f>
        <v>4.1181540118205326</v>
      </c>
      <c r="D50" s="678">
        <f>transport!C18</f>
        <v>0</v>
      </c>
      <c r="E50" s="678">
        <f>transport!D18</f>
        <v>10.570027217653001</v>
      </c>
      <c r="F50" s="678">
        <f>transport!E18</f>
        <v>136.49445691250759</v>
      </c>
      <c r="G50" s="678">
        <f>transport!F18</f>
        <v>0</v>
      </c>
      <c r="H50" s="678">
        <f>transport!G18</f>
        <v>53715.961646306903</v>
      </c>
      <c r="I50" s="678">
        <f>transport!H18</f>
        <v>8243.4021826411845</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62110.546467090069</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54.451244819317068</v>
      </c>
      <c r="D52" s="707">
        <f t="shared" ref="D52:Q52" ca="1" si="6">SUM(D48:D51)</f>
        <v>0</v>
      </c>
      <c r="E52" s="707">
        <f t="shared" si="6"/>
        <v>10.570027217653001</v>
      </c>
      <c r="F52" s="707">
        <f t="shared" si="6"/>
        <v>136.49445691250759</v>
      </c>
      <c r="G52" s="707">
        <f t="shared" si="6"/>
        <v>0</v>
      </c>
      <c r="H52" s="707">
        <f t="shared" si="6"/>
        <v>53985.272941884519</v>
      </c>
      <c r="I52" s="707">
        <f t="shared" si="6"/>
        <v>8243.4021826411845</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62430.190853475186</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37.79903642049711</v>
      </c>
      <c r="D54" s="678">
        <f ca="1">+landbouw!C12</f>
        <v>0</v>
      </c>
      <c r="E54" s="678">
        <f>+landbouw!D12</f>
        <v>487.42076772886281</v>
      </c>
      <c r="F54" s="678">
        <f>+landbouw!E12</f>
        <v>0.55697746577462115</v>
      </c>
      <c r="G54" s="678">
        <f>+landbouw!F12</f>
        <v>179.45339957157373</v>
      </c>
      <c r="H54" s="678">
        <f>+landbouw!G12</f>
        <v>0</v>
      </c>
      <c r="I54" s="678">
        <f>+landbouw!H12</f>
        <v>0</v>
      </c>
      <c r="J54" s="678">
        <f>+landbouw!I12</f>
        <v>0</v>
      </c>
      <c r="K54" s="678">
        <f>+landbouw!J12</f>
        <v>14.376871262966031</v>
      </c>
      <c r="L54" s="678">
        <f>+landbouw!K12</f>
        <v>0</v>
      </c>
      <c r="M54" s="678">
        <f>+landbouw!L12</f>
        <v>0</v>
      </c>
      <c r="N54" s="678">
        <f>+landbouw!M12</f>
        <v>0</v>
      </c>
      <c r="O54" s="678">
        <f>+landbouw!N12</f>
        <v>0</v>
      </c>
      <c r="P54" s="678">
        <f>+landbouw!O12</f>
        <v>0</v>
      </c>
      <c r="Q54" s="679">
        <f>+landbouw!P12</f>
        <v>0</v>
      </c>
      <c r="R54" s="706">
        <f ca="1">SUM(C54:Q54)</f>
        <v>719.60705244967426</v>
      </c>
    </row>
    <row r="55" spans="1:18" ht="15" thickBot="1">
      <c r="A55" s="800" t="s">
        <v>849</v>
      </c>
      <c r="B55" s="810"/>
      <c r="C55" s="678">
        <f ca="1">C25*'EF ele_warmte'!B12</f>
        <v>85.567194458625366</v>
      </c>
      <c r="D55" s="678"/>
      <c r="E55" s="678">
        <f>E25*EF_CO2_aardgas</f>
        <v>688.12685447628257</v>
      </c>
      <c r="F55" s="678"/>
      <c r="G55" s="678"/>
      <c r="H55" s="678"/>
      <c r="I55" s="678"/>
      <c r="J55" s="678"/>
      <c r="K55" s="678"/>
      <c r="L55" s="678"/>
      <c r="M55" s="678"/>
      <c r="N55" s="678"/>
      <c r="O55" s="678"/>
      <c r="P55" s="678"/>
      <c r="Q55" s="679"/>
      <c r="R55" s="706">
        <f ca="1">SUM(C55:Q55)</f>
        <v>773.69404893490798</v>
      </c>
    </row>
    <row r="56" spans="1:18" ht="15.75" thickBot="1">
      <c r="A56" s="798" t="s">
        <v>850</v>
      </c>
      <c r="B56" s="811"/>
      <c r="C56" s="707">
        <f ca="1">SUM(C54:C55)</f>
        <v>123.36623087912247</v>
      </c>
      <c r="D56" s="707">
        <f t="shared" ref="D56:Q56" ca="1" si="7">SUM(D54:D55)</f>
        <v>0</v>
      </c>
      <c r="E56" s="707">
        <f t="shared" si="7"/>
        <v>1175.5476222051454</v>
      </c>
      <c r="F56" s="707">
        <f t="shared" si="7"/>
        <v>0.55697746577462115</v>
      </c>
      <c r="G56" s="707">
        <f t="shared" si="7"/>
        <v>179.45339957157373</v>
      </c>
      <c r="H56" s="707">
        <f t="shared" si="7"/>
        <v>0</v>
      </c>
      <c r="I56" s="707">
        <f t="shared" si="7"/>
        <v>0</v>
      </c>
      <c r="J56" s="707">
        <f t="shared" si="7"/>
        <v>0</v>
      </c>
      <c r="K56" s="707">
        <f t="shared" si="7"/>
        <v>14.376871262966031</v>
      </c>
      <c r="L56" s="707">
        <f t="shared" si="7"/>
        <v>0</v>
      </c>
      <c r="M56" s="707">
        <f t="shared" si="7"/>
        <v>0</v>
      </c>
      <c r="N56" s="707">
        <f t="shared" si="7"/>
        <v>0</v>
      </c>
      <c r="O56" s="707">
        <f t="shared" si="7"/>
        <v>0</v>
      </c>
      <c r="P56" s="707">
        <f t="shared" si="7"/>
        <v>0</v>
      </c>
      <c r="Q56" s="708">
        <f t="shared" si="7"/>
        <v>0</v>
      </c>
      <c r="R56" s="709">
        <f ca="1">SUM(R54:R55)</f>
        <v>1493.3011013845821</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6066.8017169136174</v>
      </c>
      <c r="D61" s="715">
        <f t="shared" ref="D61:Q61" ca="1" si="8">D46+D52+D56</f>
        <v>0</v>
      </c>
      <c r="E61" s="715">
        <f t="shared" ca="1" si="8"/>
        <v>15863.775835504475</v>
      </c>
      <c r="F61" s="715">
        <f t="shared" si="8"/>
        <v>1149.3734658414221</v>
      </c>
      <c r="G61" s="715">
        <f t="shared" ca="1" si="8"/>
        <v>3511.2245321022165</v>
      </c>
      <c r="H61" s="715">
        <f t="shared" si="8"/>
        <v>53985.272941884519</v>
      </c>
      <c r="I61" s="715">
        <f t="shared" si="8"/>
        <v>8243.4021826411845</v>
      </c>
      <c r="J61" s="715">
        <f t="shared" si="8"/>
        <v>0</v>
      </c>
      <c r="K61" s="715">
        <f t="shared" si="8"/>
        <v>41.937025203745442</v>
      </c>
      <c r="L61" s="715">
        <f t="shared" si="8"/>
        <v>0</v>
      </c>
      <c r="M61" s="715">
        <f t="shared" ca="1" si="8"/>
        <v>0</v>
      </c>
      <c r="N61" s="715">
        <f t="shared" si="8"/>
        <v>0</v>
      </c>
      <c r="O61" s="715">
        <f t="shared" ca="1" si="8"/>
        <v>0</v>
      </c>
      <c r="P61" s="715">
        <f t="shared" si="8"/>
        <v>0</v>
      </c>
      <c r="Q61" s="715">
        <f t="shared" si="8"/>
        <v>0</v>
      </c>
      <c r="R61" s="715">
        <f ca="1">R46+R52+R56</f>
        <v>88861.787700091183</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0.1426899470387745</v>
      </c>
      <c r="D63" s="756">
        <f t="shared" ca="1" si="9"/>
        <v>0</v>
      </c>
      <c r="E63" s="1002">
        <f t="shared" ca="1" si="9"/>
        <v>0.20199999999999999</v>
      </c>
      <c r="F63" s="756">
        <f t="shared" si="9"/>
        <v>0.22700000000000001</v>
      </c>
      <c r="G63" s="756">
        <f t="shared" ca="1" si="9"/>
        <v>0.26699999999999996</v>
      </c>
      <c r="H63" s="756">
        <f t="shared" si="9"/>
        <v>0.26700000000000002</v>
      </c>
      <c r="I63" s="756">
        <f t="shared" si="9"/>
        <v>0.24899999999999997</v>
      </c>
      <c r="J63" s="756">
        <f t="shared" si="9"/>
        <v>0</v>
      </c>
      <c r="K63" s="756">
        <f t="shared" si="9"/>
        <v>0.35399999999999998</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12088.39033298098</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2977.3912951080897</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0</v>
      </c>
      <c r="D76" s="1012">
        <f>'lokale energieproductie'!C8</f>
        <v>0</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0</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15065.781628089069</v>
      </c>
      <c r="C78" s="730">
        <f>SUM(C72:C77)</f>
        <v>0</v>
      </c>
      <c r="D78" s="731">
        <f t="shared" ref="D78:H78" si="10">SUM(D76:D77)</f>
        <v>0</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0</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0</v>
      </c>
      <c r="D87" s="752">
        <f>'lokale energieproductie'!C17</f>
        <v>0</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0</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0</v>
      </c>
      <c r="D90" s="730">
        <f t="shared" ref="D90:H90" si="12">SUM(D87:D89)</f>
        <v>0</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0</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12088.39033298098</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2977.3912951080897</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0</v>
      </c>
      <c r="C8" s="545">
        <f>B48</f>
        <v>0</v>
      </c>
      <c r="D8" s="1022"/>
      <c r="E8" s="1022">
        <f>E48</f>
        <v>0</v>
      </c>
      <c r="F8" s="1023"/>
      <c r="G8" s="546"/>
      <c r="H8" s="1022">
        <f>I48</f>
        <v>0</v>
      </c>
      <c r="I8" s="1022">
        <f>G48+F48</f>
        <v>0</v>
      </c>
      <c r="J8" s="1022">
        <f>H48+D48+C48</f>
        <v>0</v>
      </c>
      <c r="K8" s="1022"/>
      <c r="L8" s="1022"/>
      <c r="M8" s="1022"/>
      <c r="N8" s="547"/>
      <c r="O8" s="548">
        <f>C8*$C$12+D8*$D$12+E8*$E$12+F8*$F$12+G8*$G$12+H8*$H$12+I8*$I$12+J8*$J$12</f>
        <v>0</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15065.781628089069</v>
      </c>
      <c r="C10" s="558">
        <f t="shared" ref="C10:L10" si="0">SUM(C8:C9)</f>
        <v>0</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0</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0</v>
      </c>
      <c r="C17" s="570">
        <f>B49</f>
        <v>0</v>
      </c>
      <c r="D17" s="571"/>
      <c r="E17" s="571">
        <f>E49</f>
        <v>0</v>
      </c>
      <c r="F17" s="1028"/>
      <c r="G17" s="572"/>
      <c r="H17" s="570">
        <f>I49</f>
        <v>0</v>
      </c>
      <c r="I17" s="571">
        <f>G49+F49</f>
        <v>0</v>
      </c>
      <c r="J17" s="571">
        <f>H49+D49+C49</f>
        <v>0</v>
      </c>
      <c r="K17" s="571"/>
      <c r="L17" s="571"/>
      <c r="M17" s="571"/>
      <c r="N17" s="1029"/>
      <c r="O17" s="573">
        <f>C17*$C$22+E17*$E$22+H17*$H$22+I17*$I$22+J17*$J$22+D17*$D$22+F17*$F$22+G17*$G$22+K17*$K$22+L17*$L$22</f>
        <v>0</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0</v>
      </c>
      <c r="C20" s="557">
        <f>SUM(C17:C19)</f>
        <v>0</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0</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12.75">
      <c r="A28" s="580"/>
      <c r="B28" s="771"/>
      <c r="C28" s="771"/>
      <c r="D28" s="628"/>
      <c r="E28" s="627"/>
      <c r="F28" s="627"/>
      <c r="G28" s="627"/>
      <c r="H28" s="627"/>
      <c r="I28" s="627"/>
      <c r="J28" s="770"/>
      <c r="K28" s="770"/>
      <c r="L28" s="627"/>
      <c r="M28" s="627"/>
      <c r="N28" s="627"/>
      <c r="O28" s="627"/>
      <c r="P28" s="627"/>
      <c r="Q28" s="627"/>
      <c r="R28" s="627"/>
      <c r="S28" s="627"/>
      <c r="T28" s="627"/>
      <c r="U28" s="627"/>
      <c r="V28" s="627"/>
      <c r="W28" s="627"/>
      <c r="X28" s="627"/>
      <c r="Y28" s="627"/>
      <c r="Z28" s="629"/>
    </row>
    <row r="29" spans="1:26" s="565" customFormat="1">
      <c r="A29" s="583" t="s">
        <v>279</v>
      </c>
      <c r="B29" s="584"/>
      <c r="C29" s="584"/>
      <c r="D29" s="584"/>
      <c r="E29" s="584"/>
      <c r="F29" s="584"/>
      <c r="G29" s="584"/>
      <c r="H29" s="584"/>
      <c r="I29" s="584"/>
      <c r="J29" s="584"/>
      <c r="K29" s="584"/>
      <c r="L29" s="585"/>
      <c r="M29" s="585">
        <f>SUM(M28:M28)</f>
        <v>0</v>
      </c>
      <c r="N29" s="585">
        <f>SUM(N28:N28)</f>
        <v>0</v>
      </c>
      <c r="O29" s="585">
        <f>SUM(O28:O28)</f>
        <v>0</v>
      </c>
      <c r="P29" s="585">
        <f>SUM(P28:P28)</f>
        <v>0</v>
      </c>
      <c r="Q29" s="585">
        <f>SUM(Q28:Q28)</f>
        <v>0</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0</v>
      </c>
      <c r="N31" s="585">
        <f ca="1">SUMIF($Z$28:AD28,"tertiair",N28:N28)</f>
        <v>0</v>
      </c>
      <c r="O31" s="585">
        <f ca="1">SUMIF($Z$28:AE28,"tertiair",O28:O28)</f>
        <v>0</v>
      </c>
      <c r="P31" s="585">
        <f ca="1">SUMIF($Z$28:AF28,"tertiair",P28:P28)</f>
        <v>0</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0</v>
      </c>
      <c r="N32" s="590">
        <f>SUMIF($Z$28:$Z$28,"landbouw",N28:N28)</f>
        <v>0</v>
      </c>
      <c r="O32" s="590">
        <f>SUMIF($Z$28:$Z$28,"landbouw",O28:O28)</f>
        <v>0</v>
      </c>
      <c r="P32" s="590">
        <f>SUMIF($Z$28:$Z$28,"landbouw",P28:P28)</f>
        <v>0</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v>
      </c>
      <c r="C45" s="610">
        <f>IF(ISERROR(N29/(O29+N29)),0,N29/(N29+O29))</f>
        <v>0</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0</v>
      </c>
      <c r="C48" s="619">
        <f t="shared" si="2"/>
        <v>0</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0</v>
      </c>
      <c r="C49" s="622">
        <f t="shared" si="3"/>
        <v>0</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21222.081633888843</v>
      </c>
      <c r="C4" s="452">
        <f>huishoudens!C8</f>
        <v>0</v>
      </c>
      <c r="D4" s="452">
        <f>huishoudens!D8</f>
        <v>46723.159060687285</v>
      </c>
      <c r="E4" s="452">
        <f>huishoudens!E8</f>
        <v>3921.2824225278973</v>
      </c>
      <c r="F4" s="452">
        <f>huishoudens!F8</f>
        <v>3311.1534225735031</v>
      </c>
      <c r="G4" s="452">
        <f>huishoudens!G8</f>
        <v>0</v>
      </c>
      <c r="H4" s="452">
        <f>huishoudens!H8</f>
        <v>0</v>
      </c>
      <c r="I4" s="452">
        <f>huishoudens!I8</f>
        <v>0</v>
      </c>
      <c r="J4" s="452">
        <f>huishoudens!J8</f>
        <v>0</v>
      </c>
      <c r="K4" s="452">
        <f>huishoudens!K8</f>
        <v>0</v>
      </c>
      <c r="L4" s="452">
        <f>huishoudens!L8</f>
        <v>0</v>
      </c>
      <c r="M4" s="452">
        <f>huishoudens!M8</f>
        <v>0</v>
      </c>
      <c r="N4" s="452">
        <f>huishoudens!N8</f>
        <v>5901.3447976119851</v>
      </c>
      <c r="O4" s="452">
        <f>huishoudens!O8</f>
        <v>128.19333333333336</v>
      </c>
      <c r="P4" s="453">
        <f>huishoudens!P8</f>
        <v>190.66666666666669</v>
      </c>
      <c r="Q4" s="454">
        <f>SUM(B4:P4)</f>
        <v>81397.881337289524</v>
      </c>
    </row>
    <row r="5" spans="1:17">
      <c r="A5" s="451" t="s">
        <v>155</v>
      </c>
      <c r="B5" s="452">
        <f ca="1">tertiair!B16</f>
        <v>13875.270600000002</v>
      </c>
      <c r="C5" s="452">
        <f ca="1">tertiair!C16</f>
        <v>0</v>
      </c>
      <c r="D5" s="452">
        <f ca="1">tertiair!D16</f>
        <v>20648.929301293294</v>
      </c>
      <c r="E5" s="452">
        <f>tertiair!E16</f>
        <v>136.08203306252472</v>
      </c>
      <c r="F5" s="452">
        <f ca="1">tertiair!F16</f>
        <v>2188.5455798809085</v>
      </c>
      <c r="G5" s="452">
        <f>tertiair!G16</f>
        <v>0</v>
      </c>
      <c r="H5" s="452">
        <f>tertiair!H16</f>
        <v>0</v>
      </c>
      <c r="I5" s="452">
        <f>tertiair!I16</f>
        <v>0</v>
      </c>
      <c r="J5" s="452">
        <f>tertiair!J16</f>
        <v>0</v>
      </c>
      <c r="K5" s="452">
        <f>tertiair!K16</f>
        <v>0</v>
      </c>
      <c r="L5" s="452">
        <f ca="1">tertiair!L16</f>
        <v>0</v>
      </c>
      <c r="M5" s="452">
        <f>tertiair!M16</f>
        <v>0</v>
      </c>
      <c r="N5" s="452">
        <f ca="1">tertiair!N16</f>
        <v>1164.4660919158948</v>
      </c>
      <c r="O5" s="452">
        <f>tertiair!O16</f>
        <v>1.5633333333333335</v>
      </c>
      <c r="P5" s="453">
        <f>tertiair!P16</f>
        <v>19.066666666666666</v>
      </c>
      <c r="Q5" s="451">
        <f t="shared" ref="Q5:Q14" ca="1" si="0">SUM(B5:P5)</f>
        <v>38033.923606152617</v>
      </c>
    </row>
    <row r="6" spans="1:17">
      <c r="A6" s="451" t="s">
        <v>193</v>
      </c>
      <c r="B6" s="452">
        <f>'openbare verlichting'!B8</f>
        <v>872.74199999999996</v>
      </c>
      <c r="C6" s="452"/>
      <c r="D6" s="452"/>
      <c r="E6" s="452"/>
      <c r="F6" s="452"/>
      <c r="G6" s="452"/>
      <c r="H6" s="452"/>
      <c r="I6" s="452"/>
      <c r="J6" s="452"/>
      <c r="K6" s="452"/>
      <c r="L6" s="452"/>
      <c r="M6" s="452"/>
      <c r="N6" s="452"/>
      <c r="O6" s="452"/>
      <c r="P6" s="453"/>
      <c r="Q6" s="451">
        <f t="shared" si="0"/>
        <v>872.74199999999996</v>
      </c>
    </row>
    <row r="7" spans="1:17">
      <c r="A7" s="451" t="s">
        <v>111</v>
      </c>
      <c r="B7" s="452">
        <f>landbouw!B8</f>
        <v>264.90328999999997</v>
      </c>
      <c r="C7" s="452">
        <f>landbouw!C8</f>
        <v>0</v>
      </c>
      <c r="D7" s="452">
        <f>landbouw!D8</f>
        <v>2412.9740976676376</v>
      </c>
      <c r="E7" s="452">
        <f>landbouw!E8</f>
        <v>2.453645223676745</v>
      </c>
      <c r="F7" s="452">
        <f>landbouw!F8</f>
        <v>672.11011075495776</v>
      </c>
      <c r="G7" s="452">
        <f>landbouw!G8</f>
        <v>0</v>
      </c>
      <c r="H7" s="452">
        <f>landbouw!H8</f>
        <v>0</v>
      </c>
      <c r="I7" s="452">
        <f>landbouw!I8</f>
        <v>0</v>
      </c>
      <c r="J7" s="452">
        <f>landbouw!J8</f>
        <v>40.612630686344723</v>
      </c>
      <c r="K7" s="452">
        <f>landbouw!K8</f>
        <v>0</v>
      </c>
      <c r="L7" s="452">
        <f>landbouw!L8</f>
        <v>0</v>
      </c>
      <c r="M7" s="452">
        <f>landbouw!M8</f>
        <v>0</v>
      </c>
      <c r="N7" s="452">
        <f>landbouw!N8</f>
        <v>0</v>
      </c>
      <c r="O7" s="452">
        <f>landbouw!O8</f>
        <v>0</v>
      </c>
      <c r="P7" s="453">
        <f>landbouw!P8</f>
        <v>0</v>
      </c>
      <c r="Q7" s="451">
        <f t="shared" si="0"/>
        <v>3393.0537743326172</v>
      </c>
    </row>
    <row r="8" spans="1:17">
      <c r="A8" s="451" t="s">
        <v>649</v>
      </c>
      <c r="B8" s="452">
        <f>industrie!B18</f>
        <v>5301.0980500000005</v>
      </c>
      <c r="C8" s="452">
        <f>industrie!C18</f>
        <v>0</v>
      </c>
      <c r="D8" s="452">
        <f>industrie!D18</f>
        <v>5289.5858265425632</v>
      </c>
      <c r="E8" s="452">
        <f>industrie!E18</f>
        <v>402.20396495204346</v>
      </c>
      <c r="F8" s="452">
        <f>industrie!F18</f>
        <v>6978.8445650760859</v>
      </c>
      <c r="G8" s="452">
        <f>industrie!G18</f>
        <v>0</v>
      </c>
      <c r="H8" s="452">
        <f>industrie!H18</f>
        <v>0</v>
      </c>
      <c r="I8" s="452">
        <f>industrie!I18</f>
        <v>0</v>
      </c>
      <c r="J8" s="452">
        <f>industrie!J18</f>
        <v>77.853542205591566</v>
      </c>
      <c r="K8" s="452">
        <f>industrie!K18</f>
        <v>0</v>
      </c>
      <c r="L8" s="452">
        <f>industrie!L18</f>
        <v>0</v>
      </c>
      <c r="M8" s="452">
        <f>industrie!M18</f>
        <v>0</v>
      </c>
      <c r="N8" s="452">
        <f>industrie!N18</f>
        <v>1772.32195918812</v>
      </c>
      <c r="O8" s="452">
        <f>industrie!O18</f>
        <v>0</v>
      </c>
      <c r="P8" s="453">
        <f>industrie!P18</f>
        <v>0</v>
      </c>
      <c r="Q8" s="451">
        <f t="shared" si="0"/>
        <v>19821.907907964403</v>
      </c>
    </row>
    <row r="9" spans="1:17" s="457" customFormat="1">
      <c r="A9" s="455" t="s">
        <v>570</v>
      </c>
      <c r="B9" s="456">
        <f>transport!B14</f>
        <v>28.860855983788884</v>
      </c>
      <c r="C9" s="456">
        <f>transport!C14</f>
        <v>0</v>
      </c>
      <c r="D9" s="456">
        <f>transport!D14</f>
        <v>52.326867414123761</v>
      </c>
      <c r="E9" s="456">
        <f>transport!E14</f>
        <v>601.29716701545192</v>
      </c>
      <c r="F9" s="456">
        <f>transport!F14</f>
        <v>0</v>
      </c>
      <c r="G9" s="456">
        <f>transport!G14</f>
        <v>201183.3769524603</v>
      </c>
      <c r="H9" s="456">
        <f>transport!H14</f>
        <v>33106.032862012791</v>
      </c>
      <c r="I9" s="456">
        <f>transport!I14</f>
        <v>0</v>
      </c>
      <c r="J9" s="456">
        <f>transport!J14</f>
        <v>0</v>
      </c>
      <c r="K9" s="456">
        <f>transport!K14</f>
        <v>0</v>
      </c>
      <c r="L9" s="456">
        <f>transport!L14</f>
        <v>0</v>
      </c>
      <c r="M9" s="456">
        <f>transport!M14</f>
        <v>12673.867885778047</v>
      </c>
      <c r="N9" s="456">
        <f>transport!N14</f>
        <v>0</v>
      </c>
      <c r="O9" s="456">
        <f>transport!O14</f>
        <v>0</v>
      </c>
      <c r="P9" s="456">
        <f>transport!P14</f>
        <v>0</v>
      </c>
      <c r="Q9" s="455">
        <f>SUM(B9:P9)</f>
        <v>247645.7625906645</v>
      </c>
    </row>
    <row r="10" spans="1:17">
      <c r="A10" s="451" t="s">
        <v>560</v>
      </c>
      <c r="B10" s="452">
        <f>transport!B54</f>
        <v>352.74447746356691</v>
      </c>
      <c r="C10" s="452">
        <f>transport!C54</f>
        <v>0</v>
      </c>
      <c r="D10" s="452">
        <f>transport!D54</f>
        <v>0</v>
      </c>
      <c r="E10" s="452">
        <f>transport!E54</f>
        <v>0</v>
      </c>
      <c r="F10" s="452">
        <f>transport!F54</f>
        <v>0</v>
      </c>
      <c r="G10" s="452">
        <f>transport!G54</f>
        <v>1008.6565377438909</v>
      </c>
      <c r="H10" s="452">
        <f>transport!H54</f>
        <v>0</v>
      </c>
      <c r="I10" s="452">
        <f>transport!I54</f>
        <v>0</v>
      </c>
      <c r="J10" s="452">
        <f>transport!J54</f>
        <v>0</v>
      </c>
      <c r="K10" s="452">
        <f>transport!K54</f>
        <v>0</v>
      </c>
      <c r="L10" s="452">
        <f>transport!L54</f>
        <v>0</v>
      </c>
      <c r="M10" s="452">
        <f>transport!M54</f>
        <v>57.651737641579238</v>
      </c>
      <c r="N10" s="452">
        <f>transport!N54</f>
        <v>0</v>
      </c>
      <c r="O10" s="452">
        <f>transport!O54</f>
        <v>0</v>
      </c>
      <c r="P10" s="453">
        <f>transport!P54</f>
        <v>0</v>
      </c>
      <c r="Q10" s="451">
        <f t="shared" si="0"/>
        <v>1419.0527528490372</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599.67219999999998</v>
      </c>
      <c r="C14" s="459"/>
      <c r="D14" s="459">
        <f>'SEAP template'!E25</f>
        <v>3406.56858651625</v>
      </c>
      <c r="E14" s="459"/>
      <c r="F14" s="459"/>
      <c r="G14" s="459"/>
      <c r="H14" s="459"/>
      <c r="I14" s="459"/>
      <c r="J14" s="459"/>
      <c r="K14" s="459"/>
      <c r="L14" s="459"/>
      <c r="M14" s="459"/>
      <c r="N14" s="459"/>
      <c r="O14" s="459"/>
      <c r="P14" s="460"/>
      <c r="Q14" s="451">
        <f t="shared" si="0"/>
        <v>4006.24078651625</v>
      </c>
    </row>
    <row r="15" spans="1:17" s="461" customFormat="1">
      <c r="A15" s="1017" t="s">
        <v>564</v>
      </c>
      <c r="B15" s="957">
        <f ca="1">SUM(B4:B14)</f>
        <v>42517.3731073362</v>
      </c>
      <c r="C15" s="957">
        <f t="shared" ref="C15:Q15" ca="1" si="1">SUM(C4:C14)</f>
        <v>0</v>
      </c>
      <c r="D15" s="957">
        <f t="shared" ca="1" si="1"/>
        <v>78533.543740121168</v>
      </c>
      <c r="E15" s="957">
        <f t="shared" si="1"/>
        <v>5063.3192327815941</v>
      </c>
      <c r="F15" s="957">
        <f t="shared" ca="1" si="1"/>
        <v>13150.653678285456</v>
      </c>
      <c r="G15" s="957">
        <f t="shared" si="1"/>
        <v>202192.03349020419</v>
      </c>
      <c r="H15" s="957">
        <f t="shared" si="1"/>
        <v>33106.032862012791</v>
      </c>
      <c r="I15" s="957">
        <f t="shared" si="1"/>
        <v>0</v>
      </c>
      <c r="J15" s="957">
        <f t="shared" si="1"/>
        <v>118.46617289193628</v>
      </c>
      <c r="K15" s="957">
        <f t="shared" si="1"/>
        <v>0</v>
      </c>
      <c r="L15" s="957">
        <f t="shared" ca="1" si="1"/>
        <v>0</v>
      </c>
      <c r="M15" s="957">
        <f t="shared" si="1"/>
        <v>12731.519623419626</v>
      </c>
      <c r="N15" s="957">
        <f t="shared" ca="1" si="1"/>
        <v>8838.1328487160008</v>
      </c>
      <c r="O15" s="957">
        <f t="shared" si="1"/>
        <v>129.75666666666669</v>
      </c>
      <c r="P15" s="957">
        <f t="shared" si="1"/>
        <v>209.73333333333335</v>
      </c>
      <c r="Q15" s="957">
        <f t="shared" ca="1" si="1"/>
        <v>396590.56475576898</v>
      </c>
    </row>
    <row r="17" spans="1:17">
      <c r="A17" s="462" t="s">
        <v>565</v>
      </c>
      <c r="B17" s="761">
        <f ca="1">huishoudens!B10</f>
        <v>0.14268994703877447</v>
      </c>
      <c r="C17" s="761">
        <f ca="1">huishoudens!C10</f>
        <v>0</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3028.1777043921475</v>
      </c>
      <c r="C22" s="452">
        <f t="shared" ref="C22:C32" ca="1" si="3">C4*$C$17</f>
        <v>0</v>
      </c>
      <c r="D22" s="452">
        <f t="shared" ref="D22:D32" si="4">D4*$D$17</f>
        <v>9438.078130258833</v>
      </c>
      <c r="E22" s="452">
        <f t="shared" ref="E22:E32" si="5">E4*$E$17</f>
        <v>890.13110991383269</v>
      </c>
      <c r="F22" s="452">
        <f t="shared" ref="F22:F32" si="6">F4*$F$17</f>
        <v>884.07796382712536</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14240.464908391938</v>
      </c>
    </row>
    <row r="23" spans="1:17">
      <c r="A23" s="451" t="s">
        <v>155</v>
      </c>
      <c r="B23" s="452">
        <f t="shared" ca="1" si="2"/>
        <v>1979.8616270626646</v>
      </c>
      <c r="C23" s="452">
        <f t="shared" ca="1" si="3"/>
        <v>0</v>
      </c>
      <c r="D23" s="452">
        <f t="shared" ca="1" si="4"/>
        <v>4171.0837188612459</v>
      </c>
      <c r="E23" s="452">
        <f t="shared" si="5"/>
        <v>30.89062150519311</v>
      </c>
      <c r="F23" s="452">
        <f t="shared" ca="1" si="6"/>
        <v>584.34166982820261</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6766.1776372573058</v>
      </c>
    </row>
    <row r="24" spans="1:17">
      <c r="A24" s="451" t="s">
        <v>193</v>
      </c>
      <c r="B24" s="452">
        <f t="shared" ca="1" si="2"/>
        <v>124.5315097585141</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124.5315097585141</v>
      </c>
    </row>
    <row r="25" spans="1:17">
      <c r="A25" s="451" t="s">
        <v>111</v>
      </c>
      <c r="B25" s="452">
        <f t="shared" ca="1" si="2"/>
        <v>37.79903642049711</v>
      </c>
      <c r="C25" s="452">
        <f t="shared" ca="1" si="3"/>
        <v>0</v>
      </c>
      <c r="D25" s="452">
        <f t="shared" si="4"/>
        <v>487.42076772886281</v>
      </c>
      <c r="E25" s="452">
        <f t="shared" si="5"/>
        <v>0.55697746577462115</v>
      </c>
      <c r="F25" s="452">
        <f t="shared" si="6"/>
        <v>179.45339957157373</v>
      </c>
      <c r="G25" s="452">
        <f t="shared" si="7"/>
        <v>0</v>
      </c>
      <c r="H25" s="452">
        <f t="shared" si="8"/>
        <v>0</v>
      </c>
      <c r="I25" s="452">
        <f t="shared" si="9"/>
        <v>0</v>
      </c>
      <c r="J25" s="452">
        <f t="shared" si="10"/>
        <v>14.376871262966031</v>
      </c>
      <c r="K25" s="452">
        <f t="shared" si="11"/>
        <v>0</v>
      </c>
      <c r="L25" s="452">
        <f t="shared" si="12"/>
        <v>0</v>
      </c>
      <c r="M25" s="452">
        <f t="shared" si="13"/>
        <v>0</v>
      </c>
      <c r="N25" s="452">
        <f t="shared" si="14"/>
        <v>0</v>
      </c>
      <c r="O25" s="452">
        <f t="shared" si="15"/>
        <v>0</v>
      </c>
      <c r="P25" s="453">
        <f t="shared" si="16"/>
        <v>0</v>
      </c>
      <c r="Q25" s="451">
        <f t="shared" ca="1" si="17"/>
        <v>719.60705244967426</v>
      </c>
    </row>
    <row r="26" spans="1:17">
      <c r="A26" s="451" t="s">
        <v>649</v>
      </c>
      <c r="B26" s="452">
        <f t="shared" ca="1" si="2"/>
        <v>756.41340000185073</v>
      </c>
      <c r="C26" s="452">
        <f t="shared" ca="1" si="3"/>
        <v>0</v>
      </c>
      <c r="D26" s="452">
        <f t="shared" si="4"/>
        <v>1068.4963369615978</v>
      </c>
      <c r="E26" s="452">
        <f t="shared" si="5"/>
        <v>91.300300044113868</v>
      </c>
      <c r="F26" s="452">
        <f t="shared" si="6"/>
        <v>1863.351498875315</v>
      </c>
      <c r="G26" s="452">
        <f t="shared" si="7"/>
        <v>0</v>
      </c>
      <c r="H26" s="452">
        <f t="shared" si="8"/>
        <v>0</v>
      </c>
      <c r="I26" s="452">
        <f t="shared" si="9"/>
        <v>0</v>
      </c>
      <c r="J26" s="452">
        <f t="shared" si="10"/>
        <v>27.560153940779411</v>
      </c>
      <c r="K26" s="452">
        <f t="shared" si="11"/>
        <v>0</v>
      </c>
      <c r="L26" s="452">
        <f t="shared" si="12"/>
        <v>0</v>
      </c>
      <c r="M26" s="452">
        <f t="shared" si="13"/>
        <v>0</v>
      </c>
      <c r="N26" s="452">
        <f t="shared" si="14"/>
        <v>0</v>
      </c>
      <c r="O26" s="452">
        <f t="shared" si="15"/>
        <v>0</v>
      </c>
      <c r="P26" s="453">
        <f t="shared" si="16"/>
        <v>0</v>
      </c>
      <c r="Q26" s="451">
        <f t="shared" ca="1" si="17"/>
        <v>3807.1216898236567</v>
      </c>
    </row>
    <row r="27" spans="1:17" s="457" customFormat="1">
      <c r="A27" s="455" t="s">
        <v>570</v>
      </c>
      <c r="B27" s="755">
        <f t="shared" ca="1" si="2"/>
        <v>4.1181540118205326</v>
      </c>
      <c r="C27" s="456">
        <f t="shared" ca="1" si="3"/>
        <v>0</v>
      </c>
      <c r="D27" s="456">
        <f t="shared" si="4"/>
        <v>10.570027217653001</v>
      </c>
      <c r="E27" s="456">
        <f t="shared" si="5"/>
        <v>136.49445691250759</v>
      </c>
      <c r="F27" s="456">
        <f t="shared" si="6"/>
        <v>0</v>
      </c>
      <c r="G27" s="456">
        <f t="shared" si="7"/>
        <v>53715.961646306903</v>
      </c>
      <c r="H27" s="456">
        <f t="shared" si="8"/>
        <v>8243.4021826411845</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62110.546467090069</v>
      </c>
    </row>
    <row r="28" spans="1:17">
      <c r="A28" s="451" t="s">
        <v>560</v>
      </c>
      <c r="B28" s="452">
        <f t="shared" ca="1" si="2"/>
        <v>50.333090807496539</v>
      </c>
      <c r="C28" s="452">
        <f t="shared" ca="1" si="3"/>
        <v>0</v>
      </c>
      <c r="D28" s="452">
        <f t="shared" si="4"/>
        <v>0</v>
      </c>
      <c r="E28" s="452">
        <f t="shared" si="5"/>
        <v>0</v>
      </c>
      <c r="F28" s="452">
        <f t="shared" si="6"/>
        <v>0</v>
      </c>
      <c r="G28" s="452">
        <f t="shared" si="7"/>
        <v>269.31129557761886</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319.64438638511541</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85.567194458625366</v>
      </c>
      <c r="C32" s="452">
        <f t="shared" ca="1" si="3"/>
        <v>0</v>
      </c>
      <c r="D32" s="452">
        <f t="shared" si="4"/>
        <v>688.12685447628257</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773.69404893490798</v>
      </c>
    </row>
    <row r="33" spans="1:17" s="461" customFormat="1">
      <c r="A33" s="1017" t="s">
        <v>564</v>
      </c>
      <c r="B33" s="957">
        <f ca="1">SUM(B22:B32)</f>
        <v>6066.8017169136165</v>
      </c>
      <c r="C33" s="957">
        <f t="shared" ref="C33:Q33" ca="1" si="18">SUM(C22:C32)</f>
        <v>0</v>
      </c>
      <c r="D33" s="957">
        <f t="shared" ca="1" si="18"/>
        <v>15863.775835504475</v>
      </c>
      <c r="E33" s="957">
        <f t="shared" si="18"/>
        <v>1149.3734658414219</v>
      </c>
      <c r="F33" s="957">
        <f t="shared" ca="1" si="18"/>
        <v>3511.2245321022165</v>
      </c>
      <c r="G33" s="957">
        <f t="shared" si="18"/>
        <v>53985.272941884519</v>
      </c>
      <c r="H33" s="957">
        <f t="shared" si="18"/>
        <v>8243.4021826411845</v>
      </c>
      <c r="I33" s="957">
        <f t="shared" si="18"/>
        <v>0</v>
      </c>
      <c r="J33" s="957">
        <f t="shared" si="18"/>
        <v>41.937025203745442</v>
      </c>
      <c r="K33" s="957">
        <f t="shared" si="18"/>
        <v>0</v>
      </c>
      <c r="L33" s="957">
        <f t="shared" ca="1" si="18"/>
        <v>0</v>
      </c>
      <c r="M33" s="957">
        <f t="shared" si="18"/>
        <v>0</v>
      </c>
      <c r="N33" s="957">
        <f t="shared" ca="1" si="18"/>
        <v>0</v>
      </c>
      <c r="O33" s="957">
        <f t="shared" si="18"/>
        <v>0</v>
      </c>
      <c r="P33" s="957">
        <f t="shared" si="18"/>
        <v>0</v>
      </c>
      <c r="Q33" s="957">
        <f t="shared" ca="1" si="18"/>
        <v>88861.787700091183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12088.39033298098</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2977.3912951080897</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15065.781628089069</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0.14268994703877447</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62" t="s">
        <v>873</v>
      </c>
      <c r="B22" s="761" t="s">
        <v>867</v>
      </c>
      <c r="C22" s="76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0.14268994703877447</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1</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1.5633333333333335</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2020-06-20T16:10:15Z</dcterms:modified>
</cp:coreProperties>
</file>