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E9" i="18" s="1"/>
  <c r="R38" i="18"/>
  <c r="Q38" i="18"/>
  <c r="P38" i="18"/>
  <c r="C9" i="18" s="1"/>
  <c r="O38" i="18"/>
  <c r="N38" i="18"/>
  <c r="B9" i="18" s="1"/>
  <c r="M38" i="18"/>
  <c r="W34" i="18"/>
  <c r="V34" i="18"/>
  <c r="U34" i="18"/>
  <c r="T34" i="18"/>
  <c r="S34" i="18"/>
  <c r="F6" i="17" s="1"/>
  <c r="R34" i="18"/>
  <c r="Q34" i="18"/>
  <c r="P34" i="18"/>
  <c r="O34" i="18"/>
  <c r="N34" i="18"/>
  <c r="M34" i="18"/>
  <c r="W33" i="18"/>
  <c r="V33" i="18"/>
  <c r="U33" i="18"/>
  <c r="T33" i="18"/>
  <c r="S33" i="18"/>
  <c r="F13" i="15" s="1"/>
  <c r="R33" i="18"/>
  <c r="Q33" i="18"/>
  <c r="P33" i="18"/>
  <c r="O33" i="18"/>
  <c r="C13" i="15" s="1"/>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K10" i="59" l="1"/>
  <c r="D14" i="48"/>
  <c r="D32" i="48" s="1"/>
  <c r="D13" i="15"/>
  <c r="L6" i="17"/>
  <c r="F20" i="18"/>
  <c r="I9" i="18"/>
  <c r="I77" i="14" s="1"/>
  <c r="I9" i="59" s="1"/>
  <c r="N6" i="17"/>
  <c r="E10" i="59"/>
  <c r="B47" i="18"/>
  <c r="C51" i="18" s="1"/>
  <c r="C6" i="17"/>
  <c r="J9" i="18"/>
  <c r="J77" i="14" s="1"/>
  <c r="J9" i="59" s="1"/>
  <c r="K20" i="18"/>
  <c r="L10" i="59"/>
  <c r="B16" i="16"/>
  <c r="C47" i="18"/>
  <c r="E50"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51"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51" i="18"/>
  <c r="H51" i="18"/>
  <c r="E51" i="18"/>
  <c r="E17" i="18" s="1"/>
  <c r="E20" i="18" s="1"/>
  <c r="G78" i="14"/>
  <c r="B50" i="18"/>
  <c r="C8" i="18" s="1"/>
  <c r="D76" i="14" s="1"/>
  <c r="D8" i="59" s="1"/>
  <c r="D10" i="59" s="1"/>
  <c r="H50" i="18"/>
  <c r="F50" i="18"/>
  <c r="C50" i="18"/>
  <c r="I50" i="18"/>
  <c r="H8" i="18" s="1"/>
  <c r="M76" i="14" s="1"/>
  <c r="D50" i="18"/>
  <c r="B51" i="18"/>
  <c r="C17" i="18" s="1"/>
  <c r="D87" i="14" s="1"/>
  <c r="D17" i="59" s="1"/>
  <c r="D20" i="59" s="1"/>
  <c r="F51" i="18"/>
  <c r="O9" i="18"/>
  <c r="G51" i="18"/>
  <c r="J17" i="18"/>
  <c r="J87" i="14" s="1"/>
  <c r="G50"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D4" i="48"/>
  <c r="D22" i="48" s="1"/>
  <c r="E11" i="14"/>
  <c r="P4" i="48"/>
  <c r="P22" i="48" s="1"/>
  <c r="Q11" i="14"/>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O22" i="16"/>
  <c r="P43" i="14" s="1"/>
  <c r="O8" i="48"/>
  <c r="O26" i="48" s="1"/>
  <c r="P13" i="14"/>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N52" i="14"/>
  <c r="N61" i="14" s="1"/>
  <c r="N63" i="14" s="1"/>
  <c r="O33" i="48"/>
  <c r="F10" i="14"/>
  <c r="E5" i="48"/>
  <c r="E23" i="48" s="1"/>
  <c r="J5" i="48"/>
  <c r="J23" i="48" s="1"/>
  <c r="K10" i="14"/>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E33" i="48" s="1"/>
  <c r="F13" i="14"/>
  <c r="F16" i="14" s="1"/>
  <c r="F27" i="14" s="1"/>
  <c r="F63" i="14" s="1"/>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E15"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<sst xmlns="http://schemas.openxmlformats.org/spreadsheetml/2006/main" count="2461" uniqueCount="927">
  <si>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</si>
  <si>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</si>
  <si>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</si>
  <si>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</si>
  <si>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</si>
  <si>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</si>
  <si>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</si>
  <si>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</si>
  <si>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</si>
  <si>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</si>
  <si>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</si>
  <si>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</si>
  <si>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</si>
  <si>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</si>
  <si>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</si>
  <si>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</si>
  <si>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</si>
  <si>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</si>
  <si>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</si>
  <si>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</si>
  <si>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</si>
  <si>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</si>
  <si>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</si>
  <si>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</si>
  <si>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</si>
  <si>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</si>
  <si>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</si>
  <si>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</si>
  <si>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</si>
  <si>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</si>
  <si>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</si>
  <si>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</si>
  <si>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</si>
  <si>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</si>
  <si>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</si>
  <si>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</si>
  <si>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</si>
  <si>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</si>
  <si>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</si>
  <si>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</si>
  <si>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</si>
  <si>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</si>
  <si>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</si>
  <si>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</si>
  <si>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</si>
  <si>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</si>
  <si>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</si>
  <si>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</si>
  <si>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</si>
  <si>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</si>
  <si>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</si>
  <si>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</si>
  <si>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</si>
  <si>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</si>
  <si>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</si>
  <si>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</si>
  <si>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</si>
  <si>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</si>
  <si>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</si>
  <si>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</si>
  <si>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</si>
  <si>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</si>
  <si>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</si>
  <si>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</si>
  <si>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</si>
  <si>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</si>
  <si>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</si>
  <si>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</si>
  <si>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</si>
  <si>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</si>
  <si>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</si>
  <si>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</si>
  <si>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</si>
  <si>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</si>
  <si>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</si>
  <si>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</si>
  <si>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</si>
  <si>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</si>
  <si>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</si>
  <si>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</si>
  <si>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</si>
  <si>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</si>
  <si>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</si>
  <si>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</si>
  <si>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</si>
  <si>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</si>
  <si>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</si>
  <si>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</si>
  <si>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</si>
  <si>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</si>
  <si>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</si>
  <si>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</si>
  <si>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</si>
  <si>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</si>
  <si>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</si>
  <si>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</si>
  <si>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</si>
  <si>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</si>
  <si>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</si>
  <si>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</si>
  <si>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</si>
  <si>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</si>
  <si>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</si>
  <si>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</si>
  <si>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</si>
  <si>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</si>
  <si>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</si>
  <si>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</si>
  <si>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</si>
  <si>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</si>
  <si>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</si>
  <si>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</si>
  <si>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</si>
  <si>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</si>
  <si>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</si>
  <si>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</si>
  <si>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</si>
  <si>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</si>
  <si>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</si>
  <si>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</si>
  <si>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</si>
  <si>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</si>
  <si>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</si>
  <si>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</si>
  <si>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</si>
  <si>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</si>
  <si>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</si>
  <si>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</si>
  <si>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</si>
  <si>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</si>
  <si>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</si>
  <si>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</si>
  <si>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</si>
  <si>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</si>
  <si>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</si>
  <si>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</si>
  <si>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</si>
  <si>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</si>
  <si>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</si>
  <si>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</si>
  <si>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</si>
  <si>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</si>
  <si>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</si>
  <si>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</si>
  <si>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</si>
  <si>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</si>
  <si>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</si>
  <si>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</si>
  <si>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</si>
  <si>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</si>
  <si>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</si>
  <si>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</si>
  <si>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</si>
  <si>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</si>
  <si>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</si>
  <si>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</si>
  <si>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</si>
  <si>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</si>
  <si>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</si>
  <si>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</si>
  <si>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</si>
  <si>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</si>
  <si>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</si>
  <si>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</si>
  <si>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</si>
  <si>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</si>
  <si>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</si>
  <si>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</si>
  <si>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</si>
  <si>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</si>
  <si>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</si>
  <si>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</si>
  <si>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</si>
  <si>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</si>
  <si>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</si>
  <si>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</si>
  <si>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</si>
  <si>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</si>
  <si>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</si>
  <si>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</si>
  <si>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</si>
  <si>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</si>
  <si>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</si>
  <si>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</si>
  <si>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</si>
  <si>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</si>
  <si>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</si>
  <si>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</si>
  <si>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</si>
  <si>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</si>
  <si>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</si>
  <si>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</si>
  <si>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</si>
  <si>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</si>
  <si>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</si>
  <si>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</si>
  <si>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</si>
  <si>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</si>
  <si>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</si>
  <si>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</si>
  <si>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</si>
  <si>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</si>
  <si>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</si>
  <si>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</si>
  <si>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</si>
  <si>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</si>
  <si>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</si>
  <si>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</si>
  <si>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</si>
  <si>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</si>
  <si>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</si>
  <si>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</si>
  <si>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</si>
  <si>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</si>
  <si>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</si>
  <si>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</si>
  <si>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</si>
  <si>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</si>
  <si>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</si>
  <si>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</si>
  <si>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</si>
  <si>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</si>
  <si>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</si>
  <si>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</si>
  <si>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</si>
  <si>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</si>
  <si>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</si>
  <si>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</si>
  <si>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</si>
  <si>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</si>
  <si>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</si>
  <si>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</si>
  <si>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</si>
  <si>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</si>
  <si>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</si>
  <si>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</si>
  <si>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</si>
  <si>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</si>
  <si>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</si>
  <si>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</si>
  <si>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</si>
  <si>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</si>
  <si>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</si>
  <si>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</si>
  <si>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</si>
  <si>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</si>
  <si>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</si>
  <si>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</si>
  <si>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</si>
  <si>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</si>
  <si>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</si>
  <si>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</si>
  <si>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</si>
  <si>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</si>
  <si>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</si>
  <si>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</si>
  <si>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</si>
  <si>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</si>
  <si>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</si>
  <si>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</si>
  <si>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</si>
  <si>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</si>
  <si>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</si>
  <si>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</si>
  <si>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</si>
  <si>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</si>
  <si>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</si>
  <si>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</si>
  <si>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</si>
  <si>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</si>
  <si>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</si>
  <si>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</si>
  <si>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</si>
  <si>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</si>
  <si>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</si>
  <si>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</si>
  <si>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</si>
  <si>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</si>
  <si>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</si>
  <si>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</si>
  <si>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</si>
  <si>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</si>
  <si>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</si>
  <si>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</si>
  <si>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</si>
  <si>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</si>
  <si>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</si>
  <si>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</si>
  <si>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</si>
  <si>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</si>
  <si>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</si>
  <si>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</si>
  <si>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</si>
  <si>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</si>
  <si>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</si>
  <si>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</si>
  <si>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</si>
  <si>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</si>
  <si>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</si>
  <si>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</si>
  <si>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</si>
  <si>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</si>
  <si>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</si>
  <si>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</si>
  <si>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</si>
  <si>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</si>
  <si>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</si>
  <si>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</si>
  <si>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</si>
  <si>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</si>
  <si>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</si>
  <si>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</si>
  <si>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</si>
  <si>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</si>
  <si>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</si>
  <si>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</si>
  <si>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</si>
  <si>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</si>
  <si>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</si>
  <si>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</si>
  <si>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</si>
  <si>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</si>
  <si>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</si>
  <si>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</si>
  <si>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</si>
  <si>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</si>
  <si>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</si>
  <si>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</si>
  <si>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</si>
  <si>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</si>
  <si>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</si>
  <si>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</si>
  <si>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</si>
  <si>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</si>
  <si>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</si>
  <si>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</si>
  <si>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</si>
  <si>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</si>
  <si>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</si>
  <si>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</si>
  <si>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</si>
  <si>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</si>
  <si>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</si>
  <si>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</si>
  <si>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</si>
  <si>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</si>
  <si>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</si>
  <si>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</si>
  <si>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</si>
  <si>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</si>
  <si>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</si>
  <si>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</si>
  <si>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</si>
  <si>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</si>
  <si>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</si>
  <si>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</si>
  <si>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</si>
  <si>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</si>
  <si>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</si>
  <si>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</si>
  <si>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</si>
  <si>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</si>
  <si>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</si>
  <si>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</si>
  <si>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</si>
  <si>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</si>
  <si>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</si>
  <si>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</si>
  <si>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</si>
  <si>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</si>
  <si>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</si>
  <si>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</si>
  <si>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</si>
  <si>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</si>
  <si>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</si>
  <si>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</si>
  <si>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</si>
  <si>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</si>
  <si>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</si>
  <si>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</si>
  <si>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</si>
  <si>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</si>
  <si>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</si>
  <si>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</si>
  <si>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</si>
  <si>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</si>
  <si>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</si>
  <si>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</si>
  <si>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</si>
  <si>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</si>
  <si>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</si>
  <si>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</si>
  <si>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</si>
  <si>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</si>
  <si>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</si>
  <si>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</si>
  <si>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</si>
  <si>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</si>
  <si>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</si>
  <si>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</si>
  <si>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</si>
  <si>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</si>
  <si>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</si>
  <si>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</si>
  <si>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</si>
  <si>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</si>
  <si>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</si>
  <si>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</si>
  <si>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</si>
  <si>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</si>
  <si>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</si>
  <si>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</si>
  <si>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</si>
  <si>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</si>
  <si>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</si>
  <si>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</si>
  <si>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</si>
  <si>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</si>
  <si>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</si>
  <si>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</si>
  <si>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</si>
  <si>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</si>
  <si>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</si>
  <si>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</si>
  <si>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</si>
  <si>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</si>
  <si>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</si>
  <si>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</si>
  <si>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</si>
  <si>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</si>
  <si>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</si>
  <si>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</si>
  <si>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</si>
  <si>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</si>
  <si>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</si>
  <si>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</si>
  <si>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</si>
  <si>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</si>
  <si>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</si>
  <si>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</si>
  <si>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</si>
  <si>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</si>
  <si>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</si>
  <si>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</si>
  <si>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</si>
  <si>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</si>
  <si>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</si>
  <si>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</si>
  <si>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</si>
  <si>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</si>
  <si>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</si>
  <si>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</si>
  <si>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</si>
  <si>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</si>
  <si>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</si>
  <si>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</si>
  <si>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</si>
  <si>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</si>
  <si>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</si>
  <si>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</si>
  <si>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</si>
  <si>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</si>
  <si>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</si>
  <si>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</si>
  <si>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</si>
  <si>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</si>
  <si>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</si>
  <si>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</si>
  <si>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</si>
  <si>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</si>
  <si>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</si>
  <si>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</si>
  <si>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</si>
  <si>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</si>
  <si>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</si>
  <si>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</si>
  <si>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</si>
  <si>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</si>
  <si>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</si>
  <si>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</si>
  <si>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</si>
  <si>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</si>
  <si>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</si>
  <si>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</si>
  <si>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</si>
  <si>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</si>
  <si>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</si>
  <si>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</si>
  <si>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</si>
  <si>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</si>
  <si>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</si>
  <si>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</si>
  <si>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</si>
  <si>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</si>
  <si>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</si>
  <si>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</si>
  <si>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</si>
  <si>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</si>
  <si>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</si>
  <si>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</si>
  <si>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</si>
  <si>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</si>
  <si>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</si>
  <si>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</si>
  <si>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</si>
  <si>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</si>
  <si>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</si>
  <si>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</si>
  <si>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</si>
  <si>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</si>
  <si>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</si>
  <si>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</si>
  <si>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</si>
  <si>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</si>
  <si>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</si>
  <si>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</si>
  <si>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</si>
  <si>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</si>
  <si>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</si>
  <si>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</si>
  <si>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</si>
  <si>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</si>
  <si>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</si>
  <si>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</si>
  <si>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</si>
  <si>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</si>
  <si>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</si>
  <si>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</si>
  <si>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</si>
  <si>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</si>
  <si>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</si>
  <si>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</si>
  <si>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</si>
  <si>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</si>
  <si>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</si>
  <si>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</si>
  <si>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</si>
  <si>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</si>
  <si>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</si>
  <si>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</si>
  <si>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</si>
  <si>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</si>
  <si>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</si>
  <si>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</si>
  <si>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</si>
  <si>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</si>
  <si>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</si>
  <si>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</si>
  <si>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</si>
  <si>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</si>
  <si>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</si>
  <si>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</si>
  <si>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</si>
  <si>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</si>
  <si>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</si>
  <si>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</si>
  <si>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</si>
  <si>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</si>
  <si>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</si>
  <si>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</si>
  <si>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</si>
  <si>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</si>
  <si>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</si>
  <si>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</si>
  <si>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</si>
  <si>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</si>
  <si>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</si>
  <si>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</si>
  <si>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</si>
  <si>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</si>
  <si>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</si>
  <si>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</si>
  <si>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</si>
  <si>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</si>
  <si>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</si>
  <si>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</si>
  <si>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</si>
  <si>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</si>
  <si>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</si>
  <si>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</si>
  <si>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</si>
  <si>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</si>
  <si>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</si>
  <si>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</si>
  <si>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</si>
  <si>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</si>
  <si>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</si>
  <si>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</si>
  <si>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</si>
  <si>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</si>
  <si>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</si>
  <si>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</si>
  <si>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</si>
  <si>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</si>
  <si>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</si>
  <si>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</si>
  <si>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</si>
  <si>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</si>
  <si>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</si>
  <si>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</si>
  <si>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</si>
  <si>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</si>
  <si>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</si>
  <si>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</si>
  <si>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</si>
  <si>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</si>
  <si>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</si>
  <si>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</si>
  <si>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</si>
  <si>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</si>
  <si>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</si>
  <si>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</si>
  <si>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</si>
  <si>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</si>
  <si>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</si>
  <si>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</si>
  <si>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</si>
  <si>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</si>
  <si>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</si>
  <si>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</si>
  <si>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</si>
  <si>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</si>
  <si>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</si>
  <si>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</si>
  <si>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</si>
  <si>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</si>
  <si>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</si>
  <si>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</si>
  <si>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</si>
  <si>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</si>
  <si>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</si>
  <si>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</si>
  <si>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</si>
  <si>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</si>
  <si>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</si>
  <si>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</si>
  <si>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</si>
  <si>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</si>
  <si>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</si>
  <si>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</si>
  <si>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</si>
  <si>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</si>
  <si>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</si>
  <si>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</si>
  <si>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</si>
  <si>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</si>
  <si>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</si>
  <si>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</si>
  <si>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</si>
  <si>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</si>
  <si>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</si>
  <si>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</si>
  <si>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</si>
  <si>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</si>
  <si>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</si>
  <si>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</si>
  <si>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</si>
  <si>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</si>
  <si>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</si>
  <si>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</si>
  <si>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</si>
  <si>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</si>
  <si>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</si>
  <si>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</si>
  <si>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</si>
  <si>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</si>
  <si>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</si>
  <si>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</si>
  <si>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</si>
  <si>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</si>
  <si>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</si>
  <si>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</si>
  <si>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</si>
  <si>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</si>
  <si>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</si>
  <si>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</si>
  <si>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</si>
  <si>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</si>
  <si>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</si>
  <si>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</si>
  <si>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</si>
  <si>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</si>
  <si>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</si>
  <si>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</si>
  <si>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</si>
  <si>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</si>
  <si>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</si>
  <si>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</si>
  <si>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</si>
  <si>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</si>
  <si>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</si>
  <si>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</si>
  <si>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</si>
  <si>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</si>
  <si>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</si>
  <si>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</si>
  <si>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</si>
  <si>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</si>
  <si>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</si>
  <si>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</si>
  <si>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</si>
  <si>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</si>
  <si>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</si>
  <si>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</si>
  <si>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</si>
  <si>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</si>
  <si>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</si>
  <si>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</si>
  <si>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</si>
  <si>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</si>
  <si>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</si>
  <si>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</si>
  <si>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</si>
  <si>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</si>
  <si>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</si>
  <si>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</si>
  <si>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</si>
  <si>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</si>
  <si>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</si>
  <si>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</si>
  <si>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</si>
  <si>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</si>
  <si>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</si>
  <si>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</si>
  <si>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</si>
  <si>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</si>
  <si>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</si>
  <si>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</si>
  <si>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</si>
  <si>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</si>
  <si>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</si>
  <si>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</si>
  <si>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</si>
  <si>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</si>
  <si>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</si>
  <si>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</si>
  <si>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</si>
  <si>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</si>
  <si>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</si>
  <si>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</si>
  <si>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</si>
  <si>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</si>
  <si>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</si>
  <si>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</si>
  <si>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</si>
  <si>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</si>
  <si>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</si>
  <si>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</si>
  <si>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</si>
  <si>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</si>
  <si>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</si>
  <si>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</si>
  <si>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</si>
  <si>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</si>
  <si>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</si>
  <si>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</si>
  <si>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</si>
  <si>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</si>
  <si>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</si>
  <si>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</si>
  <si>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</si>
  <si>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</si>
  <si>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</si>
  <si>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</si>
  <si>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</si>
  <si>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</si>
  <si>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</si>
  <si>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</si>
  <si>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</si>
  <si>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</si>
  <si>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</si>
  <si>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</si>
  <si>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</si>
  <si>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</si>
  <si>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</si>
  <si>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</si>
  <si>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</si>
  <si>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</si>
  <si>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</si>
  <si>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</si>
  <si>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</si>
  <si>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</si>
  <si>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</si>
  <si>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</si>
  <si>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</si>
  <si>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</si>
  <si>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</si>
  <si>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</si>
  <si>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</si>
  <si>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</si>
  <si>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</si>
  <si>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</si>
  <si>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</si>
  <si>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</si>
  <si>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</si>
  <si>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</si>
  <si>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</si>
  <si>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</si>
  <si>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</si>
  <si>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</si>
  <si>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</si>
  <si>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</si>
  <si>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</si>
  <si>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</si>
  <si>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</si>
  <si>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</si>
  <si>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</si>
  <si>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</si>
  <si>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</si>
  <si>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</si>
  <si>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</si>
  <si>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</si>
  <si>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</si>
  <si>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</si>
  <si>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</si>
  <si>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</si>
  <si>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</si>
  <si>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</si>
  <si>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</si>
  <si>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</si>
  <si>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</si>
  <si>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</si>
  <si>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</si>
  <si>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</si>
  <si>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</si>
  <si>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</si>
  <si>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</si>
  <si>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</si>
  <si>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</si>
  <si>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</si>
  <si>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</si>
  <si>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</si>
  <si>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</si>
  <si>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</si>
  <si>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</si>
  <si>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</si>
  <si>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</si>
  <si>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</si>
  <si>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</si>
  <si>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</si>
  <si>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</si>
  <si>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</si>
  <si>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</si>
  <si>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</si>
  <si>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</si>
  <si>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</si>
  <si>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</si>
  <si>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</si>
  <si>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</si>
  <si>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</si>
  <si>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</si>
  <si>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</si>
  <si>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</si>
  <si>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</si>
  <si>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</si>
  <si>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</si>
  <si>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</si>
  <si>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</si>
  <si>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</si>
  <si>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</si>
  <si>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</si>
  <si>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</si>
  <si>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</si>
  <si>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</si>
  <si>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</si>
  <si>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</si>
  <si>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</si>
  <si>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</si>
  <si>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</si>
  <si>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</si>
  <si>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</si>
  <si>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</si>
  <si>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</si>
  <si>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</si>
  <si>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</si>
  <si>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</si>
  <si>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</si>
  <si>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</si>
  <si>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</si>
  <si>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</si>
  <si>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</si>
  <si>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</si>
  <si>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</si>
  <si>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</si>
  <si>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</si>
  <si>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</si>
  <si>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</si>
  <si>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</si>
  <si>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</si>
  <si>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</si>
  <si>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</si>
  <si>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</si>
  <si>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</si>
  <si>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</si>
  <si>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</si>
  <si>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</si>
  <si>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</si>
  <si>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</si>
  <si>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</si>
  <si>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</si>
  <si>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</si>
  <si>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</si>
  <si>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</si>
  <si>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</si>
  <si>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</si>
  <si>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</si>
  <si>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</si>
  <si>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44019</t>
  </si>
  <si>
    <t>EVERGEM</t>
  </si>
  <si>
    <t>Paarden&amp;pony's 200 - 600 kg</t>
  </si>
  <si>
    <t>Paarden&amp;pony's &lt; 200 kg</t>
  </si>
  <si>
    <t>Fluvius</t>
  </si>
  <si>
    <t>referentietaak LNE (2017); Jaarverslag De Lijn</t>
  </si>
  <si>
    <t>E. Van Wingen nv</t>
  </si>
  <si>
    <t>Durmakker 27 , 9940 Evergem</t>
  </si>
  <si>
    <t>WKK-0260 Van Wingen Evergem</t>
  </si>
  <si>
    <t>interne verbrandingsmotor</t>
  </si>
  <si>
    <t>WKK interne verbrandinsgmotor (gas)</t>
  </si>
  <si>
    <t>Industrieterrein Durmakker 27 , 9940 Evergem</t>
  </si>
  <si>
    <t>IMEWO</t>
  </si>
  <si>
    <t>TWZ nv</t>
  </si>
  <si>
    <t>Durmakker 4 , 9940 Evergem</t>
  </si>
  <si>
    <t>WKK-0455 TWZ</t>
  </si>
  <si>
    <t>Biolectric nv</t>
  </si>
  <si>
    <t>Jan de Malschelaan 4 B, 9140 Temse</t>
  </si>
  <si>
    <t>WKK-0482 Philip Vereecke</t>
  </si>
  <si>
    <t>Volpenswege 19 , 9940 Sleidinge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</si>
</sst>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278935.79636392632</c:v>
                </c:pt>
                <c:pt idx="1">
                  <c:v>100439.5105819243</c:v>
                </c:pt>
                <c:pt idx="2">
                  <c:v>2357.9839999999999</c:v>
                </c:pt>
                <c:pt idx="3">
                  <c:v>20894.556204288474</c:v>
                </c:pt>
                <c:pt idx="4">
                  <c:v>171746.47763617994</c:v>
                </c:pt>
                <c:pt idx="5">
                  <c:v>168548.03391329729</c:v>
                </c:pt>
                <c:pt idx="6">
                  <c:v>3944.9429036379483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278935.79636392632</c:v>
                </c:pt>
                <c:pt idx="1">
                  <c:v>100439.5105819243</c:v>
                </c:pt>
                <c:pt idx="2">
                  <c:v>2357.9839999999999</c:v>
                </c:pt>
                <c:pt idx="3">
                  <c:v>20894.556204288474</c:v>
                </c:pt>
                <c:pt idx="4">
                  <c:v>171746.47763617994</c:v>
                </c:pt>
                <c:pt idx="5">
                  <c:v>168548.03391329729</c:v>
                </c:pt>
                <c:pt idx="6">
                  <c:v>3944.9429036379483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53544.566290729053</c:v>
                </c:pt>
                <c:pt idx="2">
                  <c:v>19459.656099382384</c:v>
                </c:pt>
                <c:pt idx="3">
                  <c:v>457.65150981844391</c:v>
                </c:pt>
                <c:pt idx="4">
                  <c:v>5164.9726504927239</c:v>
                </c:pt>
                <c:pt idx="5">
                  <c:v>34259.033714442863</c:v>
                </c:pt>
                <c:pt idx="6">
                  <c:v>42238.090683172377</c:v>
                </c:pt>
                <c:pt idx="7">
                  <c:v>934.10901417555374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53544.566290729053</c:v>
                </c:pt>
                <c:pt idx="2">
                  <c:v>19459.656099382384</c:v>
                </c:pt>
                <c:pt idx="3">
                  <c:v>457.65150981844391</c:v>
                </c:pt>
                <c:pt idx="4">
                  <c:v>5164.9726504927239</c:v>
                </c:pt>
                <c:pt idx="5">
                  <c:v>34259.033714442863</c:v>
                </c:pt>
                <c:pt idx="6">
                  <c:v>42238.090683172377</c:v>
                </c:pt>
                <c:pt idx="7">
                  <c:v>934.10901417555374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44019</v>
      </c>
      <c r="B6" s="391"/>
      <c r="C6" s="392"/>
    </row>
    <row r="7" spans="1:7" s="389" customFormat="1" ht="15.75" customHeight="1">
      <c r="A7" s="393" t="str">
        <f>txtMunicipality</f>
        <v>EVERGEM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44197.101199999997</v>
      </c>
      <c r="D10" s="991">
        <f ca="1">tertiair!C16</f>
        <v>81</v>
      </c>
      <c r="E10" s="991">
        <f ca="1">tertiair!D16</f>
        <v>47556.951347163558</v>
      </c>
      <c r="F10" s="991">
        <f>tertiair!E16</f>
        <v>345.90241303320386</v>
      </c>
      <c r="G10" s="991">
        <f ca="1">tertiair!F16</f>
        <v>6125.3337794030522</v>
      </c>
      <c r="H10" s="991">
        <f>tertiair!G16</f>
        <v>0</v>
      </c>
      <c r="I10" s="991">
        <f>tertiair!H16</f>
        <v>0</v>
      </c>
      <c r="J10" s="991">
        <f>tertiair!I16</f>
        <v>0</v>
      </c>
      <c r="K10" s="991">
        <f>tertiair!J16</f>
        <v>0</v>
      </c>
      <c r="L10" s="991">
        <f>tertiair!K16</f>
        <v>0</v>
      </c>
      <c r="M10" s="991">
        <f ca="1">tertiair!L16</f>
        <v>0</v>
      </c>
      <c r="N10" s="991">
        <f>tertiair!M16</f>
        <v>0</v>
      </c>
      <c r="O10" s="991">
        <f ca="1">tertiair!N16</f>
        <v>4405.5591756578106</v>
      </c>
      <c r="P10" s="991">
        <f>tertiair!O16</f>
        <v>9.3800000000000008</v>
      </c>
      <c r="Q10" s="992">
        <f>tertiair!P16</f>
        <v>76.266666666666666</v>
      </c>
      <c r="R10" s="675">
        <f ca="1">SUM(C10:Q10)</f>
        <v>102797.4945819243</v>
      </c>
      <c r="S10" s="67"/>
    </row>
    <row r="11" spans="1:19" s="448" customFormat="1">
      <c r="A11" s="784" t="s">
        <v>224</v>
      </c>
      <c r="B11" s="789"/>
      <c r="C11" s="991">
        <f>huishoudens!B8</f>
        <v>71895.980182871572</v>
      </c>
      <c r="D11" s="991">
        <f>huishoudens!C8</f>
        <v>0</v>
      </c>
      <c r="E11" s="991">
        <f>huishoudens!D8</f>
        <v>97418.758166474319</v>
      </c>
      <c r="F11" s="991">
        <f>huishoudens!E8</f>
        <v>37230.151449834535</v>
      </c>
      <c r="G11" s="991">
        <f>huishoudens!F8</f>
        <v>42924.100453686166</v>
      </c>
      <c r="H11" s="991">
        <f>huishoudens!G8</f>
        <v>0</v>
      </c>
      <c r="I11" s="991">
        <f>huishoudens!H8</f>
        <v>0</v>
      </c>
      <c r="J11" s="991">
        <f>huishoudens!I8</f>
        <v>0</v>
      </c>
      <c r="K11" s="991">
        <f>huishoudens!J8</f>
        <v>0</v>
      </c>
      <c r="L11" s="991">
        <f>huishoudens!K8</f>
        <v>0</v>
      </c>
      <c r="M11" s="991">
        <f>huishoudens!L8</f>
        <v>0</v>
      </c>
      <c r="N11" s="991">
        <f>huishoudens!M8</f>
        <v>0</v>
      </c>
      <c r="O11" s="991">
        <f>huishoudens!N8</f>
        <v>27285.852777726373</v>
      </c>
      <c r="P11" s="991">
        <f>huishoudens!O8</f>
        <v>522.15333333333331</v>
      </c>
      <c r="Q11" s="992">
        <f>huishoudens!P8</f>
        <v>1658.8</v>
      </c>
      <c r="R11" s="675">
        <f>SUM(C11:Q11)</f>
        <v>278935.79636392632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76158.872900000002</v>
      </c>
      <c r="D13" s="991">
        <f>industrie!C18</f>
        <v>0</v>
      </c>
      <c r="E13" s="991">
        <f>industrie!D18</f>
        <v>76430.796101899105</v>
      </c>
      <c r="F13" s="991">
        <f>industrie!E18</f>
        <v>2026.3757020394646</v>
      </c>
      <c r="G13" s="991">
        <f>industrie!F18</f>
        <v>13185.045376885528</v>
      </c>
      <c r="H13" s="991">
        <f>industrie!G18</f>
        <v>0</v>
      </c>
      <c r="I13" s="991">
        <f>industrie!H18</f>
        <v>0</v>
      </c>
      <c r="J13" s="991">
        <f>industrie!I18</f>
        <v>0</v>
      </c>
      <c r="K13" s="991">
        <f>industrie!J18</f>
        <v>164.55671616953003</v>
      </c>
      <c r="L13" s="991">
        <f>industrie!K18</f>
        <v>0</v>
      </c>
      <c r="M13" s="991">
        <f>industrie!L18</f>
        <v>0</v>
      </c>
      <c r="N13" s="991">
        <f>industrie!M18</f>
        <v>0</v>
      </c>
      <c r="O13" s="991">
        <f>industrie!N18</f>
        <v>3780.8308391863256</v>
      </c>
      <c r="P13" s="991">
        <f>industrie!O18</f>
        <v>0</v>
      </c>
      <c r="Q13" s="992">
        <f>industrie!P18</f>
        <v>0</v>
      </c>
      <c r="R13" s="675">
        <f>SUM(C13:Q13)</f>
        <v>171746.47763617994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192251.95428287156</v>
      </c>
      <c r="D16" s="707">
        <f t="shared" ref="D16:R16" ca="1" si="0">SUM(D9:D15)</f>
        <v>81</v>
      </c>
      <c r="E16" s="707">
        <f t="shared" ca="1" si="0"/>
        <v>221406.505615537</v>
      </c>
      <c r="F16" s="707">
        <f t="shared" si="0"/>
        <v>39602.429564907201</v>
      </c>
      <c r="G16" s="707">
        <f t="shared" ca="1" si="0"/>
        <v>62234.479609974747</v>
      </c>
      <c r="H16" s="707">
        <f t="shared" si="0"/>
        <v>0</v>
      </c>
      <c r="I16" s="707">
        <f t="shared" si="0"/>
        <v>0</v>
      </c>
      <c r="J16" s="707">
        <f t="shared" si="0"/>
        <v>0</v>
      </c>
      <c r="K16" s="707">
        <f t="shared" si="0"/>
        <v>164.55671616953003</v>
      </c>
      <c r="L16" s="707">
        <f t="shared" si="0"/>
        <v>0</v>
      </c>
      <c r="M16" s="707">
        <f t="shared" ca="1" si="0"/>
        <v>0</v>
      </c>
      <c r="N16" s="707">
        <f t="shared" si="0"/>
        <v>0</v>
      </c>
      <c r="O16" s="707">
        <f t="shared" ca="1" si="0"/>
        <v>35472.242792570512</v>
      </c>
      <c r="P16" s="707">
        <f t="shared" si="0"/>
        <v>531.5333333333333</v>
      </c>
      <c r="Q16" s="707">
        <f t="shared" si="0"/>
        <v>1735.0666666666666</v>
      </c>
      <c r="R16" s="707">
        <f t="shared" ca="1" si="0"/>
        <v>553479.76858203055</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1064.3667856176266</v>
      </c>
      <c r="D19" s="991">
        <f>transport!C54</f>
        <v>0</v>
      </c>
      <c r="E19" s="991">
        <f>transport!D54</f>
        <v>0</v>
      </c>
      <c r="F19" s="991">
        <f>transport!E54</f>
        <v>0</v>
      </c>
      <c r="G19" s="991">
        <f>transport!F54</f>
        <v>0</v>
      </c>
      <c r="H19" s="991">
        <f>transport!G54</f>
        <v>2724.8329596427202</v>
      </c>
      <c r="I19" s="991">
        <f>transport!H54</f>
        <v>0</v>
      </c>
      <c r="J19" s="991">
        <f>transport!I54</f>
        <v>0</v>
      </c>
      <c r="K19" s="991">
        <f>transport!J54</f>
        <v>0</v>
      </c>
      <c r="L19" s="991">
        <f>transport!K54</f>
        <v>0</v>
      </c>
      <c r="M19" s="991">
        <f>transport!L54</f>
        <v>0</v>
      </c>
      <c r="N19" s="991">
        <f>transport!M54</f>
        <v>155.74315837760153</v>
      </c>
      <c r="O19" s="991">
        <f>transport!N54</f>
        <v>0</v>
      </c>
      <c r="P19" s="991">
        <f>transport!O54</f>
        <v>0</v>
      </c>
      <c r="Q19" s="992">
        <f>transport!P54</f>
        <v>0</v>
      </c>
      <c r="R19" s="675">
        <f>SUM(C19:Q19)</f>
        <v>3944.9429036379483</v>
      </c>
      <c r="S19" s="67"/>
    </row>
    <row r="20" spans="1:19" s="448" customFormat="1">
      <c r="A20" s="784" t="s">
        <v>306</v>
      </c>
      <c r="B20" s="789"/>
      <c r="C20" s="991">
        <f>transport!B14</f>
        <v>20.065608284595875</v>
      </c>
      <c r="D20" s="991">
        <f>transport!C14</f>
        <v>0</v>
      </c>
      <c r="E20" s="991">
        <f>transport!D14</f>
        <v>42.617695996800897</v>
      </c>
      <c r="F20" s="991">
        <f>transport!E14</f>
        <v>403.27679713895111</v>
      </c>
      <c r="G20" s="991">
        <f>transport!F14</f>
        <v>0</v>
      </c>
      <c r="H20" s="991">
        <f>transport!G14</f>
        <v>133824.94171862287</v>
      </c>
      <c r="I20" s="991">
        <f>transport!H14</f>
        <v>25713.99270915327</v>
      </c>
      <c r="J20" s="991">
        <f>transport!I14</f>
        <v>0</v>
      </c>
      <c r="K20" s="991">
        <f>transport!J14</f>
        <v>0</v>
      </c>
      <c r="L20" s="991">
        <f>transport!K14</f>
        <v>0</v>
      </c>
      <c r="M20" s="991">
        <f>transport!L14</f>
        <v>0</v>
      </c>
      <c r="N20" s="991">
        <f>transport!M14</f>
        <v>8543.1393841008103</v>
      </c>
      <c r="O20" s="991">
        <f>transport!N14</f>
        <v>0</v>
      </c>
      <c r="P20" s="991">
        <f>transport!O14</f>
        <v>0</v>
      </c>
      <c r="Q20" s="992">
        <f>transport!P14</f>
        <v>0</v>
      </c>
      <c r="R20" s="675">
        <f>SUM(C20:Q20)</f>
        <v>168548.03391329729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1084.4323939022224</v>
      </c>
      <c r="D22" s="787">
        <f t="shared" ref="D22:R22" si="1">SUM(D18:D21)</f>
        <v>0</v>
      </c>
      <c r="E22" s="787">
        <f t="shared" si="1"/>
        <v>42.617695996800897</v>
      </c>
      <c r="F22" s="787">
        <f t="shared" si="1"/>
        <v>403.27679713895111</v>
      </c>
      <c r="G22" s="787">
        <f t="shared" si="1"/>
        <v>0</v>
      </c>
      <c r="H22" s="787">
        <f t="shared" si="1"/>
        <v>136549.77467826559</v>
      </c>
      <c r="I22" s="787">
        <f t="shared" si="1"/>
        <v>25713.99270915327</v>
      </c>
      <c r="J22" s="787">
        <f t="shared" si="1"/>
        <v>0</v>
      </c>
      <c r="K22" s="787">
        <f t="shared" si="1"/>
        <v>0</v>
      </c>
      <c r="L22" s="787">
        <f t="shared" si="1"/>
        <v>0</v>
      </c>
      <c r="M22" s="787">
        <f t="shared" si="1"/>
        <v>0</v>
      </c>
      <c r="N22" s="787">
        <f t="shared" si="1"/>
        <v>8698.8825424784118</v>
      </c>
      <c r="O22" s="787">
        <f t="shared" si="1"/>
        <v>0</v>
      </c>
      <c r="P22" s="787">
        <f t="shared" si="1"/>
        <v>0</v>
      </c>
      <c r="Q22" s="787">
        <f t="shared" si="1"/>
        <v>0</v>
      </c>
      <c r="R22" s="787">
        <f t="shared" si="1"/>
        <v>172492.97681693523</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4816.4422000000004</v>
      </c>
      <c r="D24" s="991">
        <f>+landbouw!C8</f>
        <v>2498.7857142857142</v>
      </c>
      <c r="E24" s="991">
        <f>+landbouw!D8</f>
        <v>576.07065142558986</v>
      </c>
      <c r="F24" s="991">
        <f>+landbouw!E8</f>
        <v>44.611904967828508</v>
      </c>
      <c r="G24" s="991">
        <f>+landbouw!F8</f>
        <v>12220.231392697511</v>
      </c>
      <c r="H24" s="991">
        <f>+landbouw!G8</f>
        <v>0</v>
      </c>
      <c r="I24" s="991">
        <f>+landbouw!H8</f>
        <v>0</v>
      </c>
      <c r="J24" s="991">
        <f>+landbouw!I8</f>
        <v>0</v>
      </c>
      <c r="K24" s="991">
        <f>+landbouw!J8</f>
        <v>738.41434091183135</v>
      </c>
      <c r="L24" s="991">
        <f>+landbouw!K8</f>
        <v>0</v>
      </c>
      <c r="M24" s="991">
        <f>+landbouw!L8</f>
        <v>0</v>
      </c>
      <c r="N24" s="991">
        <f>+landbouw!M8</f>
        <v>0</v>
      </c>
      <c r="O24" s="991">
        <f>+landbouw!N8</f>
        <v>0</v>
      </c>
      <c r="P24" s="991">
        <f>+landbouw!O8</f>
        <v>0</v>
      </c>
      <c r="Q24" s="992">
        <f>+landbouw!P8</f>
        <v>0</v>
      </c>
      <c r="R24" s="675">
        <f>SUM(C24:Q24)</f>
        <v>20894.556204288474</v>
      </c>
      <c r="S24" s="67"/>
    </row>
    <row r="25" spans="1:19" s="448" customFormat="1" ht="15" thickBot="1">
      <c r="A25" s="806" t="s">
        <v>849</v>
      </c>
      <c r="B25" s="994"/>
      <c r="C25" s="995">
        <f>IF(Onbekend_ele_kWh="---",0,Onbekend_ele_kWh)/1000+IF(REST_rest_ele_kWh="---",0,REST_rest_ele_kWh)/1000</f>
        <v>1915.8920000000001</v>
      </c>
      <c r="D25" s="995"/>
      <c r="E25" s="995">
        <f>IF(onbekend_gas_kWh="---",0,onbekend_gas_kWh)/1000+IF(REST_rest_gas_kWh="---",0,REST_rest_gas_kWh)/1000</f>
        <v>6030.3482321034598</v>
      </c>
      <c r="F25" s="995"/>
      <c r="G25" s="995"/>
      <c r="H25" s="995"/>
      <c r="I25" s="995"/>
      <c r="J25" s="995"/>
      <c r="K25" s="995"/>
      <c r="L25" s="995"/>
      <c r="M25" s="995"/>
      <c r="N25" s="995"/>
      <c r="O25" s="995"/>
      <c r="P25" s="995"/>
      <c r="Q25" s="996"/>
      <c r="R25" s="675">
        <f>SUM(C25:Q25)</f>
        <v>7946.2402321034597</v>
      </c>
      <c r="S25" s="67"/>
    </row>
    <row r="26" spans="1:19" s="448" customFormat="1" ht="15.75" thickBot="1">
      <c r="A26" s="680" t="s">
        <v>850</v>
      </c>
      <c r="B26" s="792"/>
      <c r="C26" s="787">
        <f>SUM(C24:C25)</f>
        <v>6732.3342000000002</v>
      </c>
      <c r="D26" s="787">
        <f t="shared" ref="D26:R26" si="2">SUM(D24:D25)</f>
        <v>2498.7857142857142</v>
      </c>
      <c r="E26" s="787">
        <f t="shared" si="2"/>
        <v>6606.4188835290497</v>
      </c>
      <c r="F26" s="787">
        <f t="shared" si="2"/>
        <v>44.611904967828508</v>
      </c>
      <c r="G26" s="787">
        <f t="shared" si="2"/>
        <v>12220.231392697511</v>
      </c>
      <c r="H26" s="787">
        <f t="shared" si="2"/>
        <v>0</v>
      </c>
      <c r="I26" s="787">
        <f t="shared" si="2"/>
        <v>0</v>
      </c>
      <c r="J26" s="787">
        <f t="shared" si="2"/>
        <v>0</v>
      </c>
      <c r="K26" s="787">
        <f t="shared" si="2"/>
        <v>738.41434091183135</v>
      </c>
      <c r="L26" s="787">
        <f t="shared" si="2"/>
        <v>0</v>
      </c>
      <c r="M26" s="787">
        <f t="shared" si="2"/>
        <v>0</v>
      </c>
      <c r="N26" s="787">
        <f t="shared" si="2"/>
        <v>0</v>
      </c>
      <c r="O26" s="787">
        <f t="shared" si="2"/>
        <v>0</v>
      </c>
      <c r="P26" s="787">
        <f t="shared" si="2"/>
        <v>0</v>
      </c>
      <c r="Q26" s="787">
        <f t="shared" si="2"/>
        <v>0</v>
      </c>
      <c r="R26" s="787">
        <f t="shared" si="2"/>
        <v>28840.796436391935</v>
      </c>
      <c r="S26" s="67"/>
    </row>
    <row r="27" spans="1:19" s="448" customFormat="1" ht="17.25" thickTop="1" thickBot="1">
      <c r="A27" s="681" t="s">
        <v>115</v>
      </c>
      <c r="B27" s="780"/>
      <c r="C27" s="682">
        <f ca="1">C22+C16+C26</f>
        <v>200068.72087677379</v>
      </c>
      <c r="D27" s="682">
        <f t="shared" ref="D27:R27" ca="1" si="3">D22+D16+D26</f>
        <v>2579.7857142857142</v>
      </c>
      <c r="E27" s="682">
        <f t="shared" ca="1" si="3"/>
        <v>228055.54219506285</v>
      </c>
      <c r="F27" s="682">
        <f t="shared" si="3"/>
        <v>40050.318267013979</v>
      </c>
      <c r="G27" s="682">
        <f t="shared" ca="1" si="3"/>
        <v>74454.711002672266</v>
      </c>
      <c r="H27" s="682">
        <f t="shared" si="3"/>
        <v>136549.77467826559</v>
      </c>
      <c r="I27" s="682">
        <f t="shared" si="3"/>
        <v>25713.99270915327</v>
      </c>
      <c r="J27" s="682">
        <f t="shared" si="3"/>
        <v>0</v>
      </c>
      <c r="K27" s="682">
        <f t="shared" si="3"/>
        <v>902.97105708136132</v>
      </c>
      <c r="L27" s="682">
        <f t="shared" si="3"/>
        <v>0</v>
      </c>
      <c r="M27" s="682">
        <f t="shared" ca="1" si="3"/>
        <v>0</v>
      </c>
      <c r="N27" s="682">
        <f t="shared" si="3"/>
        <v>8698.8825424784118</v>
      </c>
      <c r="O27" s="682">
        <f t="shared" ca="1" si="3"/>
        <v>35472.242792570512</v>
      </c>
      <c r="P27" s="682">
        <f t="shared" si="3"/>
        <v>531.5333333333333</v>
      </c>
      <c r="Q27" s="682">
        <f t="shared" si="3"/>
        <v>1735.0666666666666</v>
      </c>
      <c r="R27" s="682">
        <f t="shared" ca="1" si="3"/>
        <v>754813.54183535767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8578.0353445055443</v>
      </c>
      <c r="D40" s="991">
        <f ca="1">tertiair!C20</f>
        <v>18.784125709092514</v>
      </c>
      <c r="E40" s="991">
        <f ca="1">tertiair!D20</f>
        <v>9606.5041721270391</v>
      </c>
      <c r="F40" s="991">
        <f>tertiair!E20</f>
        <v>78.519847758537281</v>
      </c>
      <c r="G40" s="991">
        <f ca="1">tertiair!F20</f>
        <v>1635.4641191006151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19917.307609200827</v>
      </c>
    </row>
    <row r="41" spans="1:18">
      <c r="A41" s="797" t="s">
        <v>224</v>
      </c>
      <c r="B41" s="804"/>
      <c r="C41" s="991">
        <f ca="1">huishoudens!B12</f>
        <v>13953.997940854602</v>
      </c>
      <c r="D41" s="991">
        <f ca="1">huishoudens!C12</f>
        <v>0</v>
      </c>
      <c r="E41" s="991">
        <f>huishoudens!D12</f>
        <v>19678.589149627813</v>
      </c>
      <c r="F41" s="991">
        <f>huishoudens!E12</f>
        <v>8451.2443791124406</v>
      </c>
      <c r="G41" s="991">
        <f>huishoudens!F12</f>
        <v>11460.734821134207</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53544.566290729053</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14781.365424343834</v>
      </c>
      <c r="D43" s="991">
        <f ca="1">industrie!C22</f>
        <v>0</v>
      </c>
      <c r="E43" s="991">
        <f>industrie!D22</f>
        <v>15439.02081258362</v>
      </c>
      <c r="F43" s="991">
        <f>industrie!E22</f>
        <v>459.98728436295846</v>
      </c>
      <c r="G43" s="991">
        <f>industrie!F22</f>
        <v>3520.4071156284363</v>
      </c>
      <c r="H43" s="991">
        <f>industrie!G22</f>
        <v>0</v>
      </c>
      <c r="I43" s="991">
        <f>industrie!H22</f>
        <v>0</v>
      </c>
      <c r="J43" s="991">
        <f>industrie!I22</f>
        <v>0</v>
      </c>
      <c r="K43" s="991">
        <f>industrie!J22</f>
        <v>58.253077524013626</v>
      </c>
      <c r="L43" s="991">
        <f>industrie!K22</f>
        <v>0</v>
      </c>
      <c r="M43" s="991">
        <f>industrie!L22</f>
        <v>0</v>
      </c>
      <c r="N43" s="991">
        <f>industrie!M22</f>
        <v>0</v>
      </c>
      <c r="O43" s="991">
        <f>industrie!N22</f>
        <v>0</v>
      </c>
      <c r="P43" s="991">
        <f>industrie!O22</f>
        <v>0</v>
      </c>
      <c r="Q43" s="749">
        <f>industrie!P22</f>
        <v>0</v>
      </c>
      <c r="R43" s="824">
        <f t="shared" ca="1" si="4"/>
        <v>34259.033714442863</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37313.398709703979</v>
      </c>
      <c r="D46" s="707">
        <f t="shared" ref="D46:Q46" ca="1" si="5">SUM(D39:D45)</f>
        <v>18.784125709092514</v>
      </c>
      <c r="E46" s="707">
        <f t="shared" ca="1" si="5"/>
        <v>44724.114134338473</v>
      </c>
      <c r="F46" s="707">
        <f t="shared" si="5"/>
        <v>8989.751511233937</v>
      </c>
      <c r="G46" s="707">
        <f t="shared" ca="1" si="5"/>
        <v>16616.60605586326</v>
      </c>
      <c r="H46" s="707">
        <f t="shared" si="5"/>
        <v>0</v>
      </c>
      <c r="I46" s="707">
        <f t="shared" si="5"/>
        <v>0</v>
      </c>
      <c r="J46" s="707">
        <f t="shared" si="5"/>
        <v>0</v>
      </c>
      <c r="K46" s="707">
        <f t="shared" si="5"/>
        <v>58.253077524013626</v>
      </c>
      <c r="L46" s="707">
        <f t="shared" si="5"/>
        <v>0</v>
      </c>
      <c r="M46" s="707">
        <f t="shared" ca="1" si="5"/>
        <v>0</v>
      </c>
      <c r="N46" s="707">
        <f t="shared" si="5"/>
        <v>0</v>
      </c>
      <c r="O46" s="707">
        <f t="shared" ca="1" si="5"/>
        <v>0</v>
      </c>
      <c r="P46" s="707">
        <f t="shared" si="5"/>
        <v>0</v>
      </c>
      <c r="Q46" s="707">
        <f t="shared" si="5"/>
        <v>0</v>
      </c>
      <c r="R46" s="707">
        <f ca="1">SUM(R39:R45)</f>
        <v>107720.90761437274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206.57861395094744</v>
      </c>
      <c r="D49" s="991">
        <f ca="1">transport!C58</f>
        <v>0</v>
      </c>
      <c r="E49" s="991">
        <f>transport!D58</f>
        <v>0</v>
      </c>
      <c r="F49" s="991">
        <f>transport!E58</f>
        <v>0</v>
      </c>
      <c r="G49" s="991">
        <f>transport!F58</f>
        <v>0</v>
      </c>
      <c r="H49" s="991">
        <f>transport!G58</f>
        <v>727.5304002246063</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934.10901417555374</v>
      </c>
    </row>
    <row r="50" spans="1:18">
      <c r="A50" s="800" t="s">
        <v>306</v>
      </c>
      <c r="B50" s="810"/>
      <c r="C50" s="678">
        <f ca="1">transport!B18</f>
        <v>3.8944521790100266</v>
      </c>
      <c r="D50" s="678">
        <f>transport!C18</f>
        <v>0</v>
      </c>
      <c r="E50" s="678">
        <f>transport!D18</f>
        <v>8.6087745913537823</v>
      </c>
      <c r="F50" s="678">
        <f>transport!E18</f>
        <v>91.543832950541912</v>
      </c>
      <c r="G50" s="678">
        <f>transport!F18</f>
        <v>0</v>
      </c>
      <c r="H50" s="678">
        <f>transport!G18</f>
        <v>35731.259438872308</v>
      </c>
      <c r="I50" s="678">
        <f>transport!H18</f>
        <v>6402.7841845791645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42238.090683172377</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210.47306612995746</v>
      </c>
      <c r="D52" s="707">
        <f t="shared" ref="D52:Q52" ca="1" si="6">SUM(D48:D51)</f>
        <v>0</v>
      </c>
      <c r="E52" s="707">
        <f t="shared" si="6"/>
        <v>8.6087745913537823</v>
      </c>
      <c r="F52" s="707">
        <f t="shared" si="6"/>
        <v>91.543832950541912</v>
      </c>
      <c r="G52" s="707">
        <f t="shared" si="6"/>
        <v>0</v>
      </c>
      <c r="H52" s="707">
        <f t="shared" si="6"/>
        <v>36458.789839096913</v>
      </c>
      <c r="I52" s="707">
        <f t="shared" si="6"/>
        <v>6402.7841845791645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43172.199697347933</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934.8036478548064</v>
      </c>
      <c r="D54" s="678">
        <f ca="1">+landbouw!C12</f>
        <v>579.47537008922689</v>
      </c>
      <c r="E54" s="678">
        <f>+landbouw!D12</f>
        <v>116.36627158796915</v>
      </c>
      <c r="F54" s="678">
        <f>+landbouw!E12</f>
        <v>10.126902427697072</v>
      </c>
      <c r="G54" s="678">
        <f>+landbouw!F12</f>
        <v>3262.8017818502358</v>
      </c>
      <c r="H54" s="678">
        <f>+landbouw!G12</f>
        <v>0</v>
      </c>
      <c r="I54" s="678">
        <f>+landbouw!H12</f>
        <v>0</v>
      </c>
      <c r="J54" s="678">
        <f>+landbouw!I12</f>
        <v>0</v>
      </c>
      <c r="K54" s="678">
        <f>+landbouw!J12</f>
        <v>261.39867668278828</v>
      </c>
      <c r="L54" s="678">
        <f>+landbouw!K12</f>
        <v>0</v>
      </c>
      <c r="M54" s="678">
        <f>+landbouw!L12</f>
        <v>0</v>
      </c>
      <c r="N54" s="678">
        <f>+landbouw!M12</f>
        <v>0</v>
      </c>
      <c r="O54" s="678">
        <f>+landbouw!N12</f>
        <v>0</v>
      </c>
      <c r="P54" s="678">
        <f>+landbouw!O12</f>
        <v>0</v>
      </c>
      <c r="Q54" s="679">
        <f>+landbouw!P12</f>
        <v>0</v>
      </c>
      <c r="R54" s="706">
        <f ca="1">SUM(C54:Q54)</f>
        <v>5164.9726504927239</v>
      </c>
    </row>
    <row r="55" spans="1:18" ht="15" thickBot="1">
      <c r="A55" s="800" t="s">
        <v>849</v>
      </c>
      <c r="B55" s="810"/>
      <c r="C55" s="678">
        <f ca="1">C25*'EF ele_warmte'!B12</f>
        <v>371.84767430528711</v>
      </c>
      <c r="D55" s="678"/>
      <c r="E55" s="678">
        <f>E25*EF_CO2_aardgas</f>
        <v>1218.1303428848989</v>
      </c>
      <c r="F55" s="678"/>
      <c r="G55" s="678"/>
      <c r="H55" s="678"/>
      <c r="I55" s="678"/>
      <c r="J55" s="678"/>
      <c r="K55" s="678"/>
      <c r="L55" s="678"/>
      <c r="M55" s="678"/>
      <c r="N55" s="678"/>
      <c r="O55" s="678"/>
      <c r="P55" s="678"/>
      <c r="Q55" s="679"/>
      <c r="R55" s="706">
        <f ca="1">SUM(C55:Q55)</f>
        <v>1589.9780171901862</v>
      </c>
    </row>
    <row r="56" spans="1:18" ht="15.75" thickBot="1">
      <c r="A56" s="798" t="s">
        <v>850</v>
      </c>
      <c r="B56" s="811"/>
      <c r="C56" s="707">
        <f ca="1">SUM(C54:C55)</f>
        <v>1306.6513221600935</v>
      </c>
      <c r="D56" s="707">
        <f t="shared" ref="D56:Q56" ca="1" si="7">SUM(D54:D55)</f>
        <v>579.47537008922689</v>
      </c>
      <c r="E56" s="707">
        <f t="shared" si="7"/>
        <v>1334.496614472868</v>
      </c>
      <c r="F56" s="707">
        <f t="shared" si="7"/>
        <v>10.126902427697072</v>
      </c>
      <c r="G56" s="707">
        <f t="shared" si="7"/>
        <v>3262.8017818502358</v>
      </c>
      <c r="H56" s="707">
        <f t="shared" si="7"/>
        <v>0</v>
      </c>
      <c r="I56" s="707">
        <f t="shared" si="7"/>
        <v>0</v>
      </c>
      <c r="J56" s="707">
        <f t="shared" si="7"/>
        <v>0</v>
      </c>
      <c r="K56" s="707">
        <f t="shared" si="7"/>
        <v>261.39867668278828</v>
      </c>
      <c r="L56" s="707">
        <f t="shared" si="7"/>
        <v>0</v>
      </c>
      <c r="M56" s="707">
        <f t="shared" si="7"/>
        <v>0</v>
      </c>
      <c r="N56" s="707">
        <f t="shared" si="7"/>
        <v>0</v>
      </c>
      <c r="O56" s="707">
        <f t="shared" si="7"/>
        <v>0</v>
      </c>
      <c r="P56" s="707">
        <f t="shared" si="7"/>
        <v>0</v>
      </c>
      <c r="Q56" s="708">
        <f t="shared" si="7"/>
        <v>0</v>
      </c>
      <c r="R56" s="709">
        <f ca="1">SUM(R54:R55)</f>
        <v>6754.9506676829096</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38830.523097994024</v>
      </c>
      <c r="D61" s="715">
        <f t="shared" ref="D61:Q61" ca="1" si="8">D46+D52+D56</f>
        <v>598.25949579831945</v>
      </c>
      <c r="E61" s="715">
        <f t="shared" ca="1" si="8"/>
        <v>46067.219523402695</v>
      </c>
      <c r="F61" s="715">
        <f t="shared" si="8"/>
        <v>9091.4222466121755</v>
      </c>
      <c r="G61" s="715">
        <f t="shared" ca="1" si="8"/>
        <v>19879.407837713494</v>
      </c>
      <c r="H61" s="715">
        <f t="shared" si="8"/>
        <v>36458.789839096913</v>
      </c>
      <c r="I61" s="715">
        <f t="shared" si="8"/>
        <v>6402.7841845791645</v>
      </c>
      <c r="J61" s="715">
        <f t="shared" si="8"/>
        <v>0</v>
      </c>
      <c r="K61" s="715">
        <f t="shared" si="8"/>
        <v>319.65175420680191</v>
      </c>
      <c r="L61" s="715">
        <f t="shared" si="8"/>
        <v>0</v>
      </c>
      <c r="M61" s="715">
        <f t="shared" ca="1" si="8"/>
        <v>0</v>
      </c>
      <c r="N61" s="715">
        <f t="shared" si="8"/>
        <v>0</v>
      </c>
      <c r="O61" s="715">
        <f t="shared" ca="1" si="8"/>
        <v>0</v>
      </c>
      <c r="P61" s="715">
        <f t="shared" si="8"/>
        <v>0</v>
      </c>
      <c r="Q61" s="715">
        <f t="shared" si="8"/>
        <v>0</v>
      </c>
      <c r="R61" s="715">
        <f ca="1">R46+R52+R56</f>
        <v>157648.05797940359</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0.19408592671470368</v>
      </c>
      <c r="D63" s="756">
        <f t="shared" ca="1" si="9"/>
        <v>0.23190278653200633</v>
      </c>
      <c r="E63" s="1002">
        <f t="shared" ca="1" si="9"/>
        <v>0.20199999999999999</v>
      </c>
      <c r="F63" s="756">
        <f t="shared" si="9"/>
        <v>0.22700000000000006</v>
      </c>
      <c r="G63" s="756">
        <f t="shared" ca="1" si="9"/>
        <v>0.26699999999999996</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24454.086030913117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43.65</v>
      </c>
      <c r="C76" s="725">
        <f>'lokale energieproductie'!B8*IFERROR(SUM(D76:H76)/SUM(D76:O76),0)</f>
        <v>1762.2</v>
      </c>
      <c r="D76" s="1012">
        <f>'lokale energieproductie'!C8</f>
        <v>2073.1764705882356</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51.352941176470587</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418.78164705882364</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24497.736030913118</v>
      </c>
      <c r="C78" s="730">
        <f>SUM(C72:C77)</f>
        <v>1762.2</v>
      </c>
      <c r="D78" s="731">
        <f t="shared" ref="D78:H78" si="10">SUM(D76:D77)</f>
        <v>2073.1764705882356</v>
      </c>
      <c r="E78" s="731">
        <f t="shared" si="10"/>
        <v>0</v>
      </c>
      <c r="F78" s="731">
        <f t="shared" si="10"/>
        <v>0</v>
      </c>
      <c r="G78" s="731">
        <f t="shared" si="10"/>
        <v>0</v>
      </c>
      <c r="H78" s="731">
        <f t="shared" si="10"/>
        <v>0</v>
      </c>
      <c r="I78" s="731">
        <f>SUM(I76:I77)</f>
        <v>0</v>
      </c>
      <c r="J78" s="731">
        <f>SUM(J76:J77)</f>
        <v>51.352941176470587</v>
      </c>
      <c r="K78" s="731">
        <f t="shared" ref="K78:L78" si="11">SUM(K76:K77)</f>
        <v>0</v>
      </c>
      <c r="L78" s="731">
        <f t="shared" si="11"/>
        <v>0</v>
      </c>
      <c r="M78" s="731">
        <f>SUM(M76:M77)</f>
        <v>0</v>
      </c>
      <c r="N78" s="731">
        <f>SUM(N76:N77)</f>
        <v>0</v>
      </c>
      <c r="O78" s="835">
        <f>SUM(O76:O77)</f>
        <v>0</v>
      </c>
      <c r="P78" s="732">
        <v>0</v>
      </c>
      <c r="Q78" s="732">
        <f>SUM(Q76:Q77)</f>
        <v>418.78164705882364</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62.357142857142833</v>
      </c>
      <c r="C87" s="741">
        <f>'lokale energieproductie'!B17*IFERROR(SUM(D87:H87)/SUM(D87:O87),0)</f>
        <v>2517.4285714285716</v>
      </c>
      <c r="D87" s="752">
        <f>'lokale energieproductie'!C17</f>
        <v>2961.680672268908</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73.361344537815114</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598.25949579831945</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62.357142857142833</v>
      </c>
      <c r="C90" s="730">
        <f>SUM(C87:C89)</f>
        <v>2517.4285714285716</v>
      </c>
      <c r="D90" s="730">
        <f t="shared" ref="D90:H90" si="12">SUM(D87:D89)</f>
        <v>2961.680672268908</v>
      </c>
      <c r="E90" s="730">
        <f t="shared" si="12"/>
        <v>0</v>
      </c>
      <c r="F90" s="730">
        <f t="shared" si="12"/>
        <v>0</v>
      </c>
      <c r="G90" s="730">
        <f t="shared" si="12"/>
        <v>0</v>
      </c>
      <c r="H90" s="730">
        <f t="shared" si="12"/>
        <v>0</v>
      </c>
      <c r="I90" s="730">
        <f>SUM(I87:I89)</f>
        <v>0</v>
      </c>
      <c r="J90" s="730">
        <f>SUM(J87:J89)</f>
        <v>73.361344537815114</v>
      </c>
      <c r="K90" s="730">
        <f t="shared" ref="K90:L90" si="13">SUM(K87:K89)</f>
        <v>0</v>
      </c>
      <c r="L90" s="730">
        <f t="shared" si="13"/>
        <v>0</v>
      </c>
      <c r="M90" s="730">
        <f>SUM(M87:M89)</f>
        <v>0</v>
      </c>
      <c r="N90" s="730">
        <f>SUM(N87:N89)</f>
        <v>0</v>
      </c>
      <c r="O90" s="730">
        <f>SUM(O87:O89)</f>
        <v>0</v>
      </c>
      <c r="P90" s="730">
        <v>0</v>
      </c>
      <c r="Q90" s="730">
        <f>SUM(Q87:Q89)</f>
        <v>598.25949579831945</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71895.980182871572</v>
      </c>
      <c r="C4" s="452">
        <f>huishoudens!C8</f>
        <v>0</v>
      </c>
      <c r="D4" s="452">
        <f>huishoudens!D8</f>
        <v>97418.758166474319</v>
      </c>
      <c r="E4" s="452">
        <f>huishoudens!E8</f>
        <v>37230.151449834535</v>
      </c>
      <c r="F4" s="452">
        <f>huishoudens!F8</f>
        <v>42924.100453686166</v>
      </c>
      <c r="G4" s="452">
        <f>huishoudens!G8</f>
        <v>0</v>
      </c>
      <c r="H4" s="452">
        <f>huishoudens!H8</f>
        <v>0</v>
      </c>
      <c r="I4" s="452">
        <f>huishoudens!I8</f>
        <v>0</v>
      </c>
      <c r="J4" s="452">
        <f>huishoudens!J8</f>
        <v>0</v>
      </c>
      <c r="K4" s="452">
        <f>huishoudens!K8</f>
        <v>0</v>
      </c>
      <c r="L4" s="452">
        <f>huishoudens!L8</f>
        <v>0</v>
      </c>
      <c r="M4" s="452">
        <f>huishoudens!M8</f>
        <v>0</v>
      </c>
      <c r="N4" s="452">
        <f>huishoudens!N8</f>
        <v>27285.852777726373</v>
      </c>
      <c r="O4" s="452">
        <f>huishoudens!O8</f>
        <v>522.15333333333331</v>
      </c>
      <c r="P4" s="453">
        <f>huishoudens!P8</f>
        <v>1658.8</v>
      </c>
      <c r="Q4" s="454">
        <f>SUM(B4:P4)</f>
        <v>278935.79636392632</v>
      </c>
    </row>
    <row r="5" spans="1:17">
      <c r="A5" s="451" t="s">
        <v>155</v>
      </c>
      <c r="B5" s="452">
        <f ca="1">tertiair!B16</f>
        <v>41839.117200000001</v>
      </c>
      <c r="C5" s="452">
        <f ca="1">tertiair!C16</f>
        <v>81</v>
      </c>
      <c r="D5" s="452">
        <f ca="1">tertiair!D16</f>
        <v>47556.951347163558</v>
      </c>
      <c r="E5" s="452">
        <f>tertiair!E16</f>
        <v>345.90241303320386</v>
      </c>
      <c r="F5" s="452">
        <f ca="1">tertiair!F16</f>
        <v>6125.3337794030522</v>
      </c>
      <c r="G5" s="452">
        <f>tertiair!G16</f>
        <v>0</v>
      </c>
      <c r="H5" s="452">
        <f>tertiair!H16</f>
        <v>0</v>
      </c>
      <c r="I5" s="452">
        <f>tertiair!I16</f>
        <v>0</v>
      </c>
      <c r="J5" s="452">
        <f>tertiair!J16</f>
        <v>0</v>
      </c>
      <c r="K5" s="452">
        <f>tertiair!K16</f>
        <v>0</v>
      </c>
      <c r="L5" s="452">
        <f ca="1">tertiair!L16</f>
        <v>0</v>
      </c>
      <c r="M5" s="452">
        <f>tertiair!M16</f>
        <v>0</v>
      </c>
      <c r="N5" s="452">
        <f ca="1">tertiair!N16</f>
        <v>4405.5591756578106</v>
      </c>
      <c r="O5" s="452">
        <f>tertiair!O16</f>
        <v>9.3800000000000008</v>
      </c>
      <c r="P5" s="453">
        <f>tertiair!P16</f>
        <v>76.266666666666666</v>
      </c>
      <c r="Q5" s="451">
        <f t="shared" ref="Q5:Q14" ca="1" si="0">SUM(B5:P5)</f>
        <v>100439.5105819243</v>
      </c>
    </row>
    <row r="6" spans="1:17">
      <c r="A6" s="451" t="s">
        <v>193</v>
      </c>
      <c r="B6" s="452">
        <f>'openbare verlichting'!B8</f>
        <v>2357.9839999999999</v>
      </c>
      <c r="C6" s="452"/>
      <c r="D6" s="452"/>
      <c r="E6" s="452"/>
      <c r="F6" s="452"/>
      <c r="G6" s="452"/>
      <c r="H6" s="452"/>
      <c r="I6" s="452"/>
      <c r="J6" s="452"/>
      <c r="K6" s="452"/>
      <c r="L6" s="452"/>
      <c r="M6" s="452"/>
      <c r="N6" s="452"/>
      <c r="O6" s="452"/>
      <c r="P6" s="453"/>
      <c r="Q6" s="451">
        <f t="shared" si="0"/>
        <v>2357.9839999999999</v>
      </c>
    </row>
    <row r="7" spans="1:17">
      <c r="A7" s="451" t="s">
        <v>111</v>
      </c>
      <c r="B7" s="452">
        <f>landbouw!B8</f>
        <v>4816.4422000000004</v>
      </c>
      <c r="C7" s="452">
        <f>landbouw!C8</f>
        <v>2498.7857142857142</v>
      </c>
      <c r="D7" s="452">
        <f>landbouw!D8</f>
        <v>576.07065142558986</v>
      </c>
      <c r="E7" s="452">
        <f>landbouw!E8</f>
        <v>44.611904967828508</v>
      </c>
      <c r="F7" s="452">
        <f>landbouw!F8</f>
        <v>12220.231392697511</v>
      </c>
      <c r="G7" s="452">
        <f>landbouw!G8</f>
        <v>0</v>
      </c>
      <c r="H7" s="452">
        <f>landbouw!H8</f>
        <v>0</v>
      </c>
      <c r="I7" s="452">
        <f>landbouw!I8</f>
        <v>0</v>
      </c>
      <c r="J7" s="452">
        <f>landbouw!J8</f>
        <v>738.41434091183135</v>
      </c>
      <c r="K7" s="452">
        <f>landbouw!K8</f>
        <v>0</v>
      </c>
      <c r="L7" s="452">
        <f>landbouw!L8</f>
        <v>0</v>
      </c>
      <c r="M7" s="452">
        <f>landbouw!M8</f>
        <v>0</v>
      </c>
      <c r="N7" s="452">
        <f>landbouw!N8</f>
        <v>0</v>
      </c>
      <c r="O7" s="452">
        <f>landbouw!O8</f>
        <v>0</v>
      </c>
      <c r="P7" s="453">
        <f>landbouw!P8</f>
        <v>0</v>
      </c>
      <c r="Q7" s="451">
        <f t="shared" si="0"/>
        <v>20894.556204288474</v>
      </c>
    </row>
    <row r="8" spans="1:17">
      <c r="A8" s="451" t="s">
        <v>649</v>
      </c>
      <c r="B8" s="452">
        <f>industrie!B18</f>
        <v>76158.872900000002</v>
      </c>
      <c r="C8" s="452">
        <f>industrie!C18</f>
        <v>0</v>
      </c>
      <c r="D8" s="452">
        <f>industrie!D18</f>
        <v>76430.796101899105</v>
      </c>
      <c r="E8" s="452">
        <f>industrie!E18</f>
        <v>2026.3757020394646</v>
      </c>
      <c r="F8" s="452">
        <f>industrie!F18</f>
        <v>13185.045376885528</v>
      </c>
      <c r="G8" s="452">
        <f>industrie!G18</f>
        <v>0</v>
      </c>
      <c r="H8" s="452">
        <f>industrie!H18</f>
        <v>0</v>
      </c>
      <c r="I8" s="452">
        <f>industrie!I18</f>
        <v>0</v>
      </c>
      <c r="J8" s="452">
        <f>industrie!J18</f>
        <v>164.55671616953003</v>
      </c>
      <c r="K8" s="452">
        <f>industrie!K18</f>
        <v>0</v>
      </c>
      <c r="L8" s="452">
        <f>industrie!L18</f>
        <v>0</v>
      </c>
      <c r="M8" s="452">
        <f>industrie!M18</f>
        <v>0</v>
      </c>
      <c r="N8" s="452">
        <f>industrie!N18</f>
        <v>3780.8308391863256</v>
      </c>
      <c r="O8" s="452">
        <f>industrie!O18</f>
        <v>0</v>
      </c>
      <c r="P8" s="453">
        <f>industrie!P18</f>
        <v>0</v>
      </c>
      <c r="Q8" s="451">
        <f t="shared" si="0"/>
        <v>171746.47763617994</v>
      </c>
    </row>
    <row r="9" spans="1:17" s="457" customFormat="1">
      <c r="A9" s="455" t="s">
        <v>570</v>
      </c>
      <c r="B9" s="456">
        <f>transport!B14</f>
        <v>20.065608284595875</v>
      </c>
      <c r="C9" s="456">
        <f>transport!C14</f>
        <v>0</v>
      </c>
      <c r="D9" s="456">
        <f>transport!D14</f>
        <v>42.617695996800897</v>
      </c>
      <c r="E9" s="456">
        <f>transport!E14</f>
        <v>403.27679713895111</v>
      </c>
      <c r="F9" s="456">
        <f>transport!F14</f>
        <v>0</v>
      </c>
      <c r="G9" s="456">
        <f>transport!G14</f>
        <v>133824.94171862287</v>
      </c>
      <c r="H9" s="456">
        <f>transport!H14</f>
        <v>25713.99270915327</v>
      </c>
      <c r="I9" s="456">
        <f>transport!I14</f>
        <v>0</v>
      </c>
      <c r="J9" s="456">
        <f>transport!J14</f>
        <v>0</v>
      </c>
      <c r="K9" s="456">
        <f>transport!K14</f>
        <v>0</v>
      </c>
      <c r="L9" s="456">
        <f>transport!L14</f>
        <v>0</v>
      </c>
      <c r="M9" s="456">
        <f>transport!M14</f>
        <v>8543.1393841008103</v>
      </c>
      <c r="N9" s="456">
        <f>transport!N14</f>
        <v>0</v>
      </c>
      <c r="O9" s="456">
        <f>transport!O14</f>
        <v>0</v>
      </c>
      <c r="P9" s="456">
        <f>transport!P14</f>
        <v>0</v>
      </c>
      <c r="Q9" s="455">
        <f>SUM(B9:P9)</f>
        <v>168548.03391329729</v>
      </c>
    </row>
    <row r="10" spans="1:17">
      <c r="A10" s="451" t="s">
        <v>560</v>
      </c>
      <c r="B10" s="452">
        <f>transport!B54</f>
        <v>1064.3667856176266</v>
      </c>
      <c r="C10" s="452">
        <f>transport!C54</f>
        <v>0</v>
      </c>
      <c r="D10" s="452">
        <f>transport!D54</f>
        <v>0</v>
      </c>
      <c r="E10" s="452">
        <f>transport!E54</f>
        <v>0</v>
      </c>
      <c r="F10" s="452">
        <f>transport!F54</f>
        <v>0</v>
      </c>
      <c r="G10" s="452">
        <f>transport!G54</f>
        <v>2724.8329596427202</v>
      </c>
      <c r="H10" s="452">
        <f>transport!H54</f>
        <v>0</v>
      </c>
      <c r="I10" s="452">
        <f>transport!I54</f>
        <v>0</v>
      </c>
      <c r="J10" s="452">
        <f>transport!J54</f>
        <v>0</v>
      </c>
      <c r="K10" s="452">
        <f>transport!K54</f>
        <v>0</v>
      </c>
      <c r="L10" s="452">
        <f>transport!L54</f>
        <v>0</v>
      </c>
      <c r="M10" s="452">
        <f>transport!M54</f>
        <v>155.74315837760153</v>
      </c>
      <c r="N10" s="452">
        <f>transport!N54</f>
        <v>0</v>
      </c>
      <c r="O10" s="452">
        <f>transport!O54</f>
        <v>0</v>
      </c>
      <c r="P10" s="453">
        <f>transport!P54</f>
        <v>0</v>
      </c>
      <c r="Q10" s="451">
        <f t="shared" si="0"/>
        <v>3944.9429036379483</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1915.8920000000001</v>
      </c>
      <c r="C14" s="459"/>
      <c r="D14" s="459">
        <f>'SEAP template'!E25</f>
        <v>6030.3482321034598</v>
      </c>
      <c r="E14" s="459"/>
      <c r="F14" s="459"/>
      <c r="G14" s="459"/>
      <c r="H14" s="459"/>
      <c r="I14" s="459"/>
      <c r="J14" s="459"/>
      <c r="K14" s="459"/>
      <c r="L14" s="459"/>
      <c r="M14" s="459"/>
      <c r="N14" s="459"/>
      <c r="O14" s="459"/>
      <c r="P14" s="460"/>
      <c r="Q14" s="451">
        <f t="shared" si="0"/>
        <v>7946.2402321034597</v>
      </c>
    </row>
    <row r="15" spans="1:17" s="461" customFormat="1">
      <c r="A15" s="1017" t="s">
        <v>564</v>
      </c>
      <c r="B15" s="957">
        <f ca="1">SUM(B4:B14)</f>
        <v>200068.72087677379</v>
      </c>
      <c r="C15" s="957">
        <f t="shared" ref="C15:Q15" ca="1" si="1">SUM(C4:C14)</f>
        <v>2579.7857142857142</v>
      </c>
      <c r="D15" s="957">
        <f t="shared" ca="1" si="1"/>
        <v>228055.54219506282</v>
      </c>
      <c r="E15" s="957">
        <f t="shared" si="1"/>
        <v>40050.318267013979</v>
      </c>
      <c r="F15" s="957">
        <f t="shared" ca="1" si="1"/>
        <v>74454.711002672251</v>
      </c>
      <c r="G15" s="957">
        <f t="shared" si="1"/>
        <v>136549.77467826559</v>
      </c>
      <c r="H15" s="957">
        <f t="shared" si="1"/>
        <v>25713.99270915327</v>
      </c>
      <c r="I15" s="957">
        <f t="shared" si="1"/>
        <v>0</v>
      </c>
      <c r="J15" s="957">
        <f t="shared" si="1"/>
        <v>902.97105708136132</v>
      </c>
      <c r="K15" s="957">
        <f t="shared" si="1"/>
        <v>0</v>
      </c>
      <c r="L15" s="957">
        <f t="shared" ca="1" si="1"/>
        <v>0</v>
      </c>
      <c r="M15" s="957">
        <f t="shared" si="1"/>
        <v>8698.8825424784118</v>
      </c>
      <c r="N15" s="957">
        <f t="shared" ca="1" si="1"/>
        <v>35472.242792570512</v>
      </c>
      <c r="O15" s="957">
        <f t="shared" si="1"/>
        <v>531.5333333333333</v>
      </c>
      <c r="P15" s="957">
        <f t="shared" si="1"/>
        <v>1735.0666666666666</v>
      </c>
      <c r="Q15" s="957">
        <f t="shared" ca="1" si="1"/>
        <v>754813.54183535778</v>
      </c>
    </row>
    <row r="17" spans="1:17">
      <c r="A17" s="462" t="s">
        <v>565</v>
      </c>
      <c r="B17" s="761">
        <f ca="1">huishoudens!B10</f>
        <v>0.1940859267147037</v>
      </c>
      <c r="C17" s="761">
        <f ca="1">huishoudens!C10</f>
        <v>0.23190278653200633</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13953.997940854602</v>
      </c>
      <c r="C22" s="452">
        <f t="shared" ref="C22:C32" ca="1" si="3">C4*$C$17</f>
        <v>0</v>
      </c>
      <c r="D22" s="452">
        <f t="shared" ref="D22:D32" si="4">D4*$D$17</f>
        <v>19678.589149627813</v>
      </c>
      <c r="E22" s="452">
        <f t="shared" ref="E22:E32" si="5">E4*$E$17</f>
        <v>8451.2443791124406</v>
      </c>
      <c r="F22" s="452">
        <f t="shared" ref="F22:F32" si="6">F4*$F$17</f>
        <v>11460.734821134207</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53544.566290729053</v>
      </c>
    </row>
    <row r="23" spans="1:17">
      <c r="A23" s="451" t="s">
        <v>155</v>
      </c>
      <c r="B23" s="452">
        <f t="shared" ca="1" si="2"/>
        <v>8120.3838346870998</v>
      </c>
      <c r="C23" s="452">
        <f t="shared" ca="1" si="3"/>
        <v>18.784125709092514</v>
      </c>
      <c r="D23" s="452">
        <f t="shared" ca="1" si="4"/>
        <v>9606.5041721270391</v>
      </c>
      <c r="E23" s="452">
        <f t="shared" si="5"/>
        <v>78.519847758537281</v>
      </c>
      <c r="F23" s="452">
        <f t="shared" ca="1" si="6"/>
        <v>1635.4641191006151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19459.656099382384</v>
      </c>
    </row>
    <row r="24" spans="1:17">
      <c r="A24" s="451" t="s">
        <v>193</v>
      </c>
      <c r="B24" s="452">
        <f t="shared" ca="1" si="2"/>
        <v>457.65150981844391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457.65150981844391</v>
      </c>
    </row>
    <row r="25" spans="1:17">
      <c r="A25" s="451" t="s">
        <v>111</v>
      </c>
      <c r="B25" s="452">
        <f t="shared" ca="1" si="2"/>
        <v>934.8036478548064</v>
      </c>
      <c r="C25" s="452">
        <f t="shared" ca="1" si="3"/>
        <v>579.47537008922689</v>
      </c>
      <c r="D25" s="452">
        <f t="shared" si="4"/>
        <v>116.36627158796915</v>
      </c>
      <c r="E25" s="452">
        <f t="shared" si="5"/>
        <v>10.126902427697072</v>
      </c>
      <c r="F25" s="452">
        <f t="shared" si="6"/>
        <v>3262.8017818502358</v>
      </c>
      <c r="G25" s="452">
        <f t="shared" si="7"/>
        <v>0</v>
      </c>
      <c r="H25" s="452">
        <f t="shared" si="8"/>
        <v>0</v>
      </c>
      <c r="I25" s="452">
        <f t="shared" si="9"/>
        <v>0</v>
      </c>
      <c r="J25" s="452">
        <f t="shared" si="10"/>
        <v>261.39867668278828</v>
      </c>
      <c r="K25" s="452">
        <f t="shared" si="11"/>
        <v>0</v>
      </c>
      <c r="L25" s="452">
        <f t="shared" si="12"/>
        <v>0</v>
      </c>
      <c r="M25" s="452">
        <f t="shared" si="13"/>
        <v>0</v>
      </c>
      <c r="N25" s="452">
        <f t="shared" si="14"/>
        <v>0</v>
      </c>
      <c r="O25" s="452">
        <f t="shared" si="15"/>
        <v>0</v>
      </c>
      <c r="P25" s="453">
        <f t="shared" si="16"/>
        <v>0</v>
      </c>
      <c r="Q25" s="451">
        <f t="shared" ca="1" si="17"/>
        <v>5164.9726504927239</v>
      </c>
    </row>
    <row r="26" spans="1:17">
      <c r="A26" s="451" t="s">
        <v>649</v>
      </c>
      <c r="B26" s="452">
        <f t="shared" ca="1" si="2"/>
        <v>14781.365424343834</v>
      </c>
      <c r="C26" s="452">
        <f t="shared" ca="1" si="3"/>
        <v>0</v>
      </c>
      <c r="D26" s="452">
        <f t="shared" si="4"/>
        <v>15439.02081258362</v>
      </c>
      <c r="E26" s="452">
        <f t="shared" si="5"/>
        <v>459.98728436295846</v>
      </c>
      <c r="F26" s="452">
        <f t="shared" si="6"/>
        <v>3520.4071156284363</v>
      </c>
      <c r="G26" s="452">
        <f t="shared" si="7"/>
        <v>0</v>
      </c>
      <c r="H26" s="452">
        <f t="shared" si="8"/>
        <v>0</v>
      </c>
      <c r="I26" s="452">
        <f t="shared" si="9"/>
        <v>0</v>
      </c>
      <c r="J26" s="452">
        <f t="shared" si="10"/>
        <v>58.253077524013626</v>
      </c>
      <c r="K26" s="452">
        <f t="shared" si="11"/>
        <v>0</v>
      </c>
      <c r="L26" s="452">
        <f t="shared" si="12"/>
        <v>0</v>
      </c>
      <c r="M26" s="452">
        <f t="shared" si="13"/>
        <v>0</v>
      </c>
      <c r="N26" s="452">
        <f t="shared" si="14"/>
        <v>0</v>
      </c>
      <c r="O26" s="452">
        <f t="shared" si="15"/>
        <v>0</v>
      </c>
      <c r="P26" s="453">
        <f t="shared" si="16"/>
        <v>0</v>
      </c>
      <c r="Q26" s="451">
        <f t="shared" ca="1" si="17"/>
        <v>34259.033714442863</v>
      </c>
    </row>
    <row r="27" spans="1:17" s="457" customFormat="1">
      <c r="A27" s="455" t="s">
        <v>570</v>
      </c>
      <c r="B27" s="755">
        <f t="shared" ca="1" si="2"/>
        <v>3.8944521790100266</v>
      </c>
      <c r="C27" s="456">
        <f t="shared" ca="1" si="3"/>
        <v>0</v>
      </c>
      <c r="D27" s="456">
        <f t="shared" si="4"/>
        <v>8.6087745913537823</v>
      </c>
      <c r="E27" s="456">
        <f t="shared" si="5"/>
        <v>91.543832950541912</v>
      </c>
      <c r="F27" s="456">
        <f t="shared" si="6"/>
        <v>0</v>
      </c>
      <c r="G27" s="456">
        <f t="shared" si="7"/>
        <v>35731.259438872308</v>
      </c>
      <c r="H27" s="456">
        <f t="shared" si="8"/>
        <v>6402.7841845791645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42238.090683172377</v>
      </c>
    </row>
    <row r="28" spans="1:17">
      <c r="A28" s="451" t="s">
        <v>560</v>
      </c>
      <c r="B28" s="452">
        <f t="shared" ca="1" si="2"/>
        <v>206.57861395094744</v>
      </c>
      <c r="C28" s="452">
        <f t="shared" ca="1" si="3"/>
        <v>0</v>
      </c>
      <c r="D28" s="452">
        <f t="shared" si="4"/>
        <v>0</v>
      </c>
      <c r="E28" s="452">
        <f t="shared" si="5"/>
        <v>0</v>
      </c>
      <c r="F28" s="452">
        <f t="shared" si="6"/>
        <v>0</v>
      </c>
      <c r="G28" s="452">
        <f t="shared" si="7"/>
        <v>727.5304002246063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934.10901417555374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371.84767430528711</v>
      </c>
      <c r="C32" s="452">
        <f t="shared" ca="1" si="3"/>
        <v>0</v>
      </c>
      <c r="D32" s="452">
        <f t="shared" si="4"/>
        <v>1218.1303428848989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1589.9780171901862</v>
      </c>
    </row>
    <row r="33" spans="1:17" s="461" customFormat="1">
      <c r="A33" s="1017" t="s">
        <v>564</v>
      </c>
      <c r="B33" s="957">
        <f ca="1">SUM(B22:B32)</f>
        <v>38830.523097994039</v>
      </c>
      <c r="C33" s="957">
        <f t="shared" ref="C33:Q33" ca="1" si="18">SUM(C22:C32)</f>
        <v>598.25949579831945</v>
      </c>
      <c r="D33" s="957">
        <f t="shared" ca="1" si="18"/>
        <v>46067.219523402695</v>
      </c>
      <c r="E33" s="957">
        <f t="shared" si="18"/>
        <v>9091.4222466121755</v>
      </c>
      <c r="F33" s="957">
        <f t="shared" ca="1" si="18"/>
        <v>19879.407837713494</v>
      </c>
      <c r="G33" s="957">
        <f t="shared" si="18"/>
        <v>36458.789839096913</v>
      </c>
      <c r="H33" s="957">
        <f t="shared" si="18"/>
        <v>6402.7841845791645</v>
      </c>
      <c r="I33" s="957">
        <f t="shared" si="18"/>
        <v>0</v>
      </c>
      <c r="J33" s="957">
        <f t="shared" si="18"/>
        <v>319.65175420680191</v>
      </c>
      <c r="K33" s="957">
        <f t="shared" si="18"/>
        <v>0</v>
      </c>
      <c r="L33" s="957">
        <f t="shared" ca="1" si="18"/>
        <v>0</v>
      </c>
      <c r="M33" s="957">
        <f t="shared" si="18"/>
        <v>0</v>
      </c>
      <c r="N33" s="957">
        <f t="shared" ca="1" si="18"/>
        <v>0</v>
      </c>
      <c r="O33" s="957">
        <f t="shared" si="18"/>
        <v>0</v>
      </c>
      <c r="P33" s="957">
        <f t="shared" si="18"/>
        <v>0</v>
      </c>
      <c r="Q33" s="957">
        <f t="shared" ca="1" si="18"/>
        <v>157648.05797940356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24454.086030913117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43.65</v>
      </c>
      <c r="C8" s="1034">
        <f>'SEAP template'!C76</f>
        <v>1762.2</v>
      </c>
      <c r="D8" s="1034">
        <f>'SEAP template'!D76</f>
        <v>2073.1764705882356</v>
      </c>
      <c r="E8" s="1034">
        <f>'SEAP template'!E76</f>
        <v>0</v>
      </c>
      <c r="F8" s="1034">
        <f>'SEAP template'!F76</f>
        <v>0</v>
      </c>
      <c r="G8" s="1034">
        <f>'SEAP template'!G76</f>
        <v>0</v>
      </c>
      <c r="H8" s="1034">
        <f>'SEAP template'!H76</f>
        <v>0</v>
      </c>
      <c r="I8" s="1034">
        <f>'SEAP template'!I76</f>
        <v>0</v>
      </c>
      <c r="J8" s="1034">
        <f>'SEAP template'!J76</f>
        <v>51.352941176470587</v>
      </c>
      <c r="K8" s="1034">
        <f>'SEAP template'!K76</f>
        <v>0</v>
      </c>
      <c r="L8" s="1034">
        <f>'SEAP template'!L76</f>
        <v>0</v>
      </c>
      <c r="M8" s="1034">
        <f>'SEAP template'!M76</f>
        <v>0</v>
      </c>
      <c r="N8" s="1034">
        <f>'SEAP template'!N76</f>
        <v>0</v>
      </c>
      <c r="O8" s="1034">
        <f>'SEAP template'!O76</f>
        <v>0</v>
      </c>
      <c r="P8" s="1035">
        <f>'SEAP template'!Q76</f>
        <v>418.78164705882364</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24497.736030913118</v>
      </c>
      <c r="C10" s="1038">
        <f>SUM(C4:C9)</f>
        <v>1762.2</v>
      </c>
      <c r="D10" s="1038">
        <f t="shared" ref="D10:H10" si="0">SUM(D8:D9)</f>
        <v>2073.1764705882356</v>
      </c>
      <c r="E10" s="1038">
        <f t="shared" si="0"/>
        <v>0</v>
      </c>
      <c r="F10" s="1038">
        <f t="shared" si="0"/>
        <v>0</v>
      </c>
      <c r="G10" s="1038">
        <f t="shared" si="0"/>
        <v>0</v>
      </c>
      <c r="H10" s="1038">
        <f t="shared" si="0"/>
        <v>0</v>
      </c>
      <c r="I10" s="1038">
        <f>SUM(I8:I9)</f>
        <v>0</v>
      </c>
      <c r="J10" s="1038">
        <f>SUM(J8:J9)</f>
        <v>51.352941176470587</v>
      </c>
      <c r="K10" s="1038">
        <f t="shared" ref="K10:L10" si="1">SUM(K8:K9)</f>
        <v>0</v>
      </c>
      <c r="L10" s="1038">
        <f t="shared" si="1"/>
        <v>0</v>
      </c>
      <c r="M10" s="1038">
        <f>SUM(M8:M9)</f>
        <v>0</v>
      </c>
      <c r="N10" s="1038">
        <f>SUM(N8:N9)</f>
        <v>0</v>
      </c>
      <c r="O10" s="1038">
        <f>SUM(O8:O9)</f>
        <v>0</v>
      </c>
      <c r="P10" s="1038">
        <f>SUM(P8:P9)</f>
        <v>418.78164705882364</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0.1940859267147037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62.357142857142833</v>
      </c>
      <c r="C17" s="1040">
        <f>'SEAP template'!C87</f>
        <v>2517.4285714285716</v>
      </c>
      <c r="D17" s="1035">
        <f>'SEAP template'!D87</f>
        <v>2961.680672268908</v>
      </c>
      <c r="E17" s="1035">
        <f>'SEAP template'!E87</f>
        <v>0</v>
      </c>
      <c r="F17" s="1035">
        <f>'SEAP template'!F87</f>
        <v>0</v>
      </c>
      <c r="G17" s="1035">
        <f>'SEAP template'!G87</f>
        <v>0</v>
      </c>
      <c r="H17" s="1035">
        <f>'SEAP template'!H87</f>
        <v>0</v>
      </c>
      <c r="I17" s="1035">
        <f>'SEAP template'!I87</f>
        <v>0</v>
      </c>
      <c r="J17" s="1035">
        <f>'SEAP template'!J87</f>
        <v>73.361344537815114</v>
      </c>
      <c r="K17" s="1035">
        <f>'SEAP template'!K87</f>
        <v>0</v>
      </c>
      <c r="L17" s="1035">
        <f>'SEAP template'!L87</f>
        <v>0</v>
      </c>
      <c r="M17" s="1035">
        <f>'SEAP template'!M87</f>
        <v>0</v>
      </c>
      <c r="N17" s="1035">
        <f>'SEAP template'!N87</f>
        <v>0</v>
      </c>
      <c r="O17" s="1035">
        <f>'SEAP template'!O87</f>
        <v>0</v>
      </c>
      <c r="P17" s="1035">
        <f>'SEAP template'!Q87</f>
        <v>598.25949579831945</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62.357142857142833</v>
      </c>
      <c r="C20" s="1038">
        <f>SUM(C17:C19)</f>
        <v>2517.4285714285716</v>
      </c>
      <c r="D20" s="1038">
        <f t="shared" ref="D20:H20" si="2">SUM(D17:D19)</f>
        <v>2961.680672268908</v>
      </c>
      <c r="E20" s="1038">
        <f t="shared" si="2"/>
        <v>0</v>
      </c>
      <c r="F20" s="1038">
        <f t="shared" si="2"/>
        <v>0</v>
      </c>
      <c r="G20" s="1038">
        <f t="shared" si="2"/>
        <v>0</v>
      </c>
      <c r="H20" s="1038">
        <f t="shared" si="2"/>
        <v>0</v>
      </c>
      <c r="I20" s="1038">
        <f>SUM(I17:I19)</f>
        <v>0</v>
      </c>
      <c r="J20" s="1038">
        <f>SUM(J17:J19)</f>
        <v>73.361344537815114</v>
      </c>
      <c r="K20" s="1038">
        <f t="shared" ref="K20:L20" si="3">SUM(K17:K19)</f>
        <v>0</v>
      </c>
      <c r="L20" s="1038">
        <f t="shared" si="3"/>
        <v>0</v>
      </c>
      <c r="M20" s="1038">
        <f>SUM(M17:M19)</f>
        <v>0</v>
      </c>
      <c r="N20" s="1038">
        <f>SUM(N17:N19)</f>
        <v>0</v>
      </c>
      <c r="O20" s="1038">
        <f>SUM(O17:O19)</f>
        <v>0</v>
      </c>
      <c r="P20" s="1038">
        <f>SUM(P17:P19)</f>
        <v>598.25949579831945</v>
      </c>
    </row>
    <row r="22" spans="1:16">
      <c r="A22" s="462" t="s">
        <v>873</v>
      </c>
      <c r="B22" s="761" t="s">
        <v>867</v>
      </c>
      <c r="C22" s="761">
        <f ca="1">'EF ele_warmte'!B22</f>
        <v>0.23190278653200633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0.1940859267147037</v>
      </c>
      <c r="C17" s="499">
        <f ca="1">'EF ele_warmte'!B22</f>
        <v>0.23190278653200633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0.1940859267147037</v>
      </c>
      <c r="C17" s="499">
        <f ca="1">'EF ele_warmte'!B22</f>
        <v>0.23190278653200633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0.1940859267147037</v>
      </c>
      <c r="C29" s="500">
        <f ca="1">'EF ele_warmte'!B22</f>
        <v>0.23190278653200633</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13883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4298</v>
      </c>
      <c r="C14" s="330"/>
      <c r="D14" s="330"/>
      <c r="E14" s="330"/>
      <c r="F14" s="330"/>
    </row>
    <row r="15" spans="1:6">
      <c r="A15" s="1305" t="s">
        <v>183</v>
      </c>
      <c r="B15" s="1306">
        <v>59</v>
      </c>
      <c r="C15" s="330"/>
      <c r="D15" s="330"/>
      <c r="E15" s="330"/>
      <c r="F15" s="330"/>
    </row>
    <row r="16" spans="1:6">
      <c r="A16" s="1305" t="s">
        <v>6</v>
      </c>
      <c r="B16" s="1306">
        <v>2702</v>
      </c>
      <c r="C16" s="330"/>
      <c r="D16" s="330"/>
      <c r="E16" s="330"/>
      <c r="F16" s="330"/>
    </row>
    <row r="17" spans="1:6">
      <c r="A17" s="1305" t="s">
        <v>7</v>
      </c>
      <c r="B17" s="1306">
        <v>1470</v>
      </c>
      <c r="C17" s="330"/>
      <c r="D17" s="330"/>
      <c r="E17" s="330"/>
      <c r="F17" s="330"/>
    </row>
    <row r="18" spans="1:6">
      <c r="A18" s="1305" t="s">
        <v>8</v>
      </c>
      <c r="B18" s="1306">
        <v>2828</v>
      </c>
      <c r="C18" s="330"/>
      <c r="D18" s="330"/>
      <c r="E18" s="330"/>
      <c r="F18" s="330"/>
    </row>
    <row r="19" spans="1:6">
      <c r="A19" s="1305" t="s">
        <v>9</v>
      </c>
      <c r="B19" s="1306">
        <v>2923</v>
      </c>
      <c r="C19" s="330"/>
      <c r="D19" s="330"/>
      <c r="E19" s="330"/>
      <c r="F19" s="330"/>
    </row>
    <row r="20" spans="1:6">
      <c r="A20" s="1305" t="s">
        <v>10</v>
      </c>
      <c r="B20" s="1306">
        <v>1480</v>
      </c>
      <c r="C20" s="330"/>
      <c r="D20" s="330"/>
      <c r="E20" s="330"/>
      <c r="F20" s="330"/>
    </row>
    <row r="21" spans="1:6">
      <c r="A21" s="1305" t="s">
        <v>11</v>
      </c>
      <c r="B21" s="1306">
        <v>12085</v>
      </c>
      <c r="C21" s="330"/>
      <c r="D21" s="330"/>
      <c r="E21" s="330"/>
      <c r="F21" s="330"/>
    </row>
    <row r="22" spans="1:6">
      <c r="A22" s="1305" t="s">
        <v>12</v>
      </c>
      <c r="B22" s="1306">
        <v>22260</v>
      </c>
      <c r="C22" s="330"/>
      <c r="D22" s="330"/>
      <c r="E22" s="330"/>
      <c r="F22" s="330"/>
    </row>
    <row r="23" spans="1:6">
      <c r="A23" s="1305" t="s">
        <v>13</v>
      </c>
      <c r="B23" s="1306">
        <v>674</v>
      </c>
      <c r="C23" s="330"/>
      <c r="D23" s="330"/>
      <c r="E23" s="330"/>
      <c r="F23" s="330"/>
    </row>
    <row r="24" spans="1:6">
      <c r="A24" s="1305" t="s">
        <v>14</v>
      </c>
      <c r="B24" s="1306">
        <v>53</v>
      </c>
      <c r="C24" s="330"/>
      <c r="D24" s="330"/>
      <c r="E24" s="330"/>
      <c r="F24" s="330"/>
    </row>
    <row r="25" spans="1:6">
      <c r="A25" s="1305" t="s">
        <v>15</v>
      </c>
      <c r="B25" s="1306">
        <v>2985</v>
      </c>
      <c r="C25" s="330"/>
      <c r="D25" s="330"/>
      <c r="E25" s="330"/>
      <c r="F25" s="330"/>
    </row>
    <row r="26" spans="1:6">
      <c r="A26" s="1305" t="s">
        <v>16</v>
      </c>
      <c r="B26" s="1306">
        <v>271</v>
      </c>
      <c r="C26" s="330"/>
      <c r="D26" s="330"/>
      <c r="E26" s="330"/>
      <c r="F26" s="330"/>
    </row>
    <row r="27" spans="1:6">
      <c r="A27" s="1305" t="s">
        <v>17</v>
      </c>
      <c r="B27" s="1306">
        <v>2</v>
      </c>
      <c r="C27" s="330"/>
      <c r="D27" s="330"/>
      <c r="E27" s="330"/>
      <c r="F27" s="330"/>
    </row>
    <row r="28" spans="1:6" s="43" customFormat="1">
      <c r="A28" s="1307" t="s">
        <v>18</v>
      </c>
      <c r="B28" s="1308">
        <v>48590</v>
      </c>
      <c r="C28" s="336"/>
      <c r="D28" s="336"/>
      <c r="E28" s="336"/>
      <c r="F28" s="336"/>
    </row>
    <row r="29" spans="1:6">
      <c r="A29" s="1307" t="s">
        <v>909</v>
      </c>
      <c r="B29" s="1308">
        <v>351</v>
      </c>
      <c r="C29" s="336"/>
      <c r="D29" s="336"/>
      <c r="E29" s="336"/>
      <c r="F29" s="336"/>
    </row>
    <row r="30" spans="1:6">
      <c r="A30" s="1300" t="s">
        <v>910</v>
      </c>
      <c r="B30" s="1309">
        <v>66</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6</v>
      </c>
      <c r="F35" s="1306">
        <v>80866.179999999993</v>
      </c>
    </row>
    <row r="36" spans="1:6">
      <c r="A36" s="1305" t="s">
        <v>24</v>
      </c>
      <c r="B36" s="1305" t="s">
        <v>26</v>
      </c>
      <c r="C36" s="1306">
        <v>0</v>
      </c>
      <c r="D36" s="1306">
        <v>0</v>
      </c>
      <c r="E36" s="1306">
        <v>4</v>
      </c>
      <c r="F36" s="1306">
        <v>34452.07</v>
      </c>
    </row>
    <row r="37" spans="1:6">
      <c r="A37" s="1305" t="s">
        <v>24</v>
      </c>
      <c r="B37" s="1305" t="s">
        <v>27</v>
      </c>
      <c r="C37" s="1306">
        <v>0</v>
      </c>
      <c r="D37" s="1306">
        <v>0</v>
      </c>
      <c r="E37" s="1306">
        <v>0</v>
      </c>
      <c r="F37" s="1306">
        <v>0</v>
      </c>
    </row>
    <row r="38" spans="1:6">
      <c r="A38" s="1305" t="s">
        <v>24</v>
      </c>
      <c r="B38" s="1305" t="s">
        <v>28</v>
      </c>
      <c r="C38" s="1306">
        <v>1</v>
      </c>
      <c r="D38" s="1306">
        <v>0</v>
      </c>
      <c r="E38" s="1306">
        <v>3</v>
      </c>
      <c r="F38" s="1306">
        <v>52761.18</v>
      </c>
    </row>
    <row r="39" spans="1:6">
      <c r="A39" s="1305" t="s">
        <v>29</v>
      </c>
      <c r="B39" s="1305" t="s">
        <v>30</v>
      </c>
      <c r="C39" s="1306">
        <v>7547</v>
      </c>
      <c r="D39" s="1306">
        <v>107979853.01760399</v>
      </c>
      <c r="E39" s="1306">
        <v>13452</v>
      </c>
      <c r="F39" s="1306">
        <v>64747312.829999998</v>
      </c>
    </row>
    <row r="40" spans="1:6">
      <c r="A40" s="1305" t="s">
        <v>29</v>
      </c>
      <c r="B40" s="1305" t="s">
        <v>28</v>
      </c>
      <c r="C40" s="1306">
        <v>1</v>
      </c>
      <c r="D40" s="1306">
        <v>23204.816624741401</v>
      </c>
      <c r="E40" s="1306">
        <v>0</v>
      </c>
      <c r="F40" s="1306">
        <v>0</v>
      </c>
    </row>
    <row r="41" spans="1:6">
      <c r="A41" s="1305" t="s">
        <v>31</v>
      </c>
      <c r="B41" s="1305" t="s">
        <v>32</v>
      </c>
      <c r="C41" s="1306">
        <v>105</v>
      </c>
      <c r="D41" s="1306">
        <v>37210508.596535802</v>
      </c>
      <c r="E41" s="1306">
        <v>308</v>
      </c>
      <c r="F41" s="1306">
        <v>2349143</v>
      </c>
    </row>
    <row r="42" spans="1:6">
      <c r="A42" s="1305" t="s">
        <v>31</v>
      </c>
      <c r="B42" s="1305" t="s">
        <v>33</v>
      </c>
      <c r="C42" s="1306">
        <v>0</v>
      </c>
      <c r="D42" s="1306">
        <v>0</v>
      </c>
      <c r="E42" s="1306">
        <v>5</v>
      </c>
      <c r="F42" s="1306">
        <v>47270630</v>
      </c>
    </row>
    <row r="43" spans="1:6">
      <c r="A43" s="1305" t="s">
        <v>31</v>
      </c>
      <c r="B43" s="1305" t="s">
        <v>34</v>
      </c>
      <c r="C43" s="1306">
        <v>0</v>
      </c>
      <c r="D43" s="1306">
        <v>0</v>
      </c>
      <c r="E43" s="1306">
        <v>0</v>
      </c>
      <c r="F43" s="1306">
        <v>0</v>
      </c>
    </row>
    <row r="44" spans="1:6">
      <c r="A44" s="1305" t="s">
        <v>31</v>
      </c>
      <c r="B44" s="1305" t="s">
        <v>35</v>
      </c>
      <c r="C44" s="1306">
        <v>8</v>
      </c>
      <c r="D44" s="1306">
        <v>206591.67951446801</v>
      </c>
      <c r="E44" s="1306">
        <v>38</v>
      </c>
      <c r="F44" s="1306">
        <v>496320.7</v>
      </c>
    </row>
    <row r="45" spans="1:6">
      <c r="A45" s="1305" t="s">
        <v>31</v>
      </c>
      <c r="B45" s="1305" t="s">
        <v>36</v>
      </c>
      <c r="C45" s="1306">
        <v>0</v>
      </c>
      <c r="D45" s="1306">
        <v>0</v>
      </c>
      <c r="E45" s="1306">
        <v>3</v>
      </c>
      <c r="F45" s="1306">
        <v>121176.6</v>
      </c>
    </row>
    <row r="46" spans="1:6">
      <c r="A46" s="1305" t="s">
        <v>31</v>
      </c>
      <c r="B46" s="1305" t="s">
        <v>37</v>
      </c>
      <c r="C46" s="1306">
        <v>0</v>
      </c>
      <c r="D46" s="1306">
        <v>0</v>
      </c>
      <c r="E46" s="1306">
        <v>0</v>
      </c>
      <c r="F46" s="1306">
        <v>0</v>
      </c>
    </row>
    <row r="47" spans="1:6">
      <c r="A47" s="1305" t="s">
        <v>31</v>
      </c>
      <c r="B47" s="1305" t="s">
        <v>38</v>
      </c>
      <c r="C47" s="1306">
        <v>9</v>
      </c>
      <c r="D47" s="1306">
        <v>281642.55411529599</v>
      </c>
      <c r="E47" s="1306">
        <v>10</v>
      </c>
      <c r="F47" s="1306">
        <v>237149.6</v>
      </c>
    </row>
    <row r="48" spans="1:6">
      <c r="A48" s="1305" t="s">
        <v>31</v>
      </c>
      <c r="B48" s="1305" t="s">
        <v>28</v>
      </c>
      <c r="C48" s="1306">
        <v>31</v>
      </c>
      <c r="D48" s="1306">
        <v>45371459.812430903</v>
      </c>
      <c r="E48" s="1306">
        <v>50</v>
      </c>
      <c r="F48" s="1306">
        <v>22815751</v>
      </c>
    </row>
    <row r="49" spans="1:6">
      <c r="A49" s="1305" t="s">
        <v>31</v>
      </c>
      <c r="B49" s="1305" t="s">
        <v>39</v>
      </c>
      <c r="C49" s="1306">
        <v>0</v>
      </c>
      <c r="D49" s="1306">
        <v>0</v>
      </c>
      <c r="E49" s="1306">
        <v>0</v>
      </c>
      <c r="F49" s="1306">
        <v>0</v>
      </c>
    </row>
    <row r="50" spans="1:6">
      <c r="A50" s="1305" t="s">
        <v>31</v>
      </c>
      <c r="B50" s="1305" t="s">
        <v>40</v>
      </c>
      <c r="C50" s="1306">
        <v>17</v>
      </c>
      <c r="D50" s="1306">
        <v>1664604.56571739</v>
      </c>
      <c r="E50" s="1306">
        <v>35</v>
      </c>
      <c r="F50" s="1306">
        <v>2868702</v>
      </c>
    </row>
    <row r="51" spans="1:6">
      <c r="A51" s="1305" t="s">
        <v>41</v>
      </c>
      <c r="B51" s="1305" t="s">
        <v>42</v>
      </c>
      <c r="C51" s="1306">
        <v>19</v>
      </c>
      <c r="D51" s="1306">
        <v>3208818.29368424</v>
      </c>
      <c r="E51" s="1306">
        <v>218</v>
      </c>
      <c r="F51" s="1306">
        <v>4287050</v>
      </c>
    </row>
    <row r="52" spans="1:6">
      <c r="A52" s="1305" t="s">
        <v>41</v>
      </c>
      <c r="B52" s="1305" t="s">
        <v>28</v>
      </c>
      <c r="C52" s="1306">
        <v>7</v>
      </c>
      <c r="D52" s="1306">
        <v>2832121.61128553</v>
      </c>
      <c r="E52" s="1306">
        <v>8</v>
      </c>
      <c r="F52" s="1306">
        <v>529392.19999999995</v>
      </c>
    </row>
    <row r="53" spans="1:6">
      <c r="A53" s="1305" t="s">
        <v>43</v>
      </c>
      <c r="B53" s="1305" t="s">
        <v>44</v>
      </c>
      <c r="C53" s="1306">
        <v>166</v>
      </c>
      <c r="D53" s="1306">
        <v>6030348.2321034595</v>
      </c>
      <c r="E53" s="1306">
        <v>372</v>
      </c>
      <c r="F53" s="1306">
        <v>1915892</v>
      </c>
    </row>
    <row r="54" spans="1:6">
      <c r="A54" s="1305" t="s">
        <v>45</v>
      </c>
      <c r="B54" s="1305" t="s">
        <v>46</v>
      </c>
      <c r="C54" s="1306">
        <v>0</v>
      </c>
      <c r="D54" s="1306">
        <v>0</v>
      </c>
      <c r="E54" s="1306">
        <v>3</v>
      </c>
      <c r="F54" s="1306">
        <v>2357984</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62</v>
      </c>
      <c r="D57" s="1306">
        <v>3072442.1629842301</v>
      </c>
      <c r="E57" s="1306">
        <v>172</v>
      </c>
      <c r="F57" s="1306">
        <v>4717593</v>
      </c>
    </row>
    <row r="58" spans="1:6">
      <c r="A58" s="1305" t="s">
        <v>48</v>
      </c>
      <c r="B58" s="1305" t="s">
        <v>50</v>
      </c>
      <c r="C58" s="1306">
        <v>45</v>
      </c>
      <c r="D58" s="1306">
        <v>4635506.4786099</v>
      </c>
      <c r="E58" s="1306">
        <v>77</v>
      </c>
      <c r="F58" s="1306">
        <v>1580883</v>
      </c>
    </row>
    <row r="59" spans="1:6">
      <c r="A59" s="1305" t="s">
        <v>48</v>
      </c>
      <c r="B59" s="1305" t="s">
        <v>51</v>
      </c>
      <c r="C59" s="1306">
        <v>124</v>
      </c>
      <c r="D59" s="1306">
        <v>6349730.7951093996</v>
      </c>
      <c r="E59" s="1306">
        <v>338</v>
      </c>
      <c r="F59" s="1306">
        <v>11637615</v>
      </c>
    </row>
    <row r="60" spans="1:6">
      <c r="A60" s="1305" t="s">
        <v>48</v>
      </c>
      <c r="B60" s="1305" t="s">
        <v>52</v>
      </c>
      <c r="C60" s="1306">
        <v>62</v>
      </c>
      <c r="D60" s="1306">
        <v>2329696.1868668501</v>
      </c>
      <c r="E60" s="1306">
        <v>111</v>
      </c>
      <c r="F60" s="1306">
        <v>1895864</v>
      </c>
    </row>
    <row r="61" spans="1:6">
      <c r="A61" s="1305" t="s">
        <v>48</v>
      </c>
      <c r="B61" s="1305" t="s">
        <v>53</v>
      </c>
      <c r="C61" s="1306">
        <v>203</v>
      </c>
      <c r="D61" s="1306">
        <v>9265181.5829680599</v>
      </c>
      <c r="E61" s="1306">
        <v>489</v>
      </c>
      <c r="F61" s="1306">
        <v>10908995</v>
      </c>
    </row>
    <row r="62" spans="1:6">
      <c r="A62" s="1305" t="s">
        <v>48</v>
      </c>
      <c r="B62" s="1305" t="s">
        <v>54</v>
      </c>
      <c r="C62" s="1306">
        <v>9</v>
      </c>
      <c r="D62" s="1306">
        <v>478012.62667955202</v>
      </c>
      <c r="E62" s="1306">
        <v>24</v>
      </c>
      <c r="F62" s="1306">
        <v>902621.2</v>
      </c>
    </row>
    <row r="63" spans="1:6">
      <c r="A63" s="1305" t="s">
        <v>48</v>
      </c>
      <c r="B63" s="1305" t="s">
        <v>28</v>
      </c>
      <c r="C63" s="1306">
        <v>115</v>
      </c>
      <c r="D63" s="1306">
        <v>26772923.899779301</v>
      </c>
      <c r="E63" s="1306">
        <v>93</v>
      </c>
      <c r="F63" s="1306">
        <v>10138846</v>
      </c>
    </row>
    <row r="64" spans="1:6">
      <c r="A64" s="1305" t="s">
        <v>55</v>
      </c>
      <c r="B64" s="1305" t="s">
        <v>56</v>
      </c>
      <c r="C64" s="1306">
        <v>0</v>
      </c>
      <c r="D64" s="1306">
        <v>0</v>
      </c>
      <c r="E64" s="1306">
        <v>0</v>
      </c>
      <c r="F64" s="1306">
        <v>0</v>
      </c>
    </row>
    <row r="65" spans="1:6">
      <c r="A65" s="1305" t="s">
        <v>55</v>
      </c>
      <c r="B65" s="1305" t="s">
        <v>28</v>
      </c>
      <c r="C65" s="1306">
        <v>5</v>
      </c>
      <c r="D65" s="1306">
        <v>84353.420033987495</v>
      </c>
      <c r="E65" s="1306">
        <v>7</v>
      </c>
      <c r="F65" s="1306">
        <v>54685.32</v>
      </c>
    </row>
    <row r="66" spans="1:6">
      <c r="A66" s="1305" t="s">
        <v>55</v>
      </c>
      <c r="B66" s="1305" t="s">
        <v>57</v>
      </c>
      <c r="C66" s="1306">
        <v>0</v>
      </c>
      <c r="D66" s="1306">
        <v>0</v>
      </c>
      <c r="E66" s="1306">
        <v>15</v>
      </c>
      <c r="F66" s="1306">
        <v>344491.9</v>
      </c>
    </row>
    <row r="67" spans="1:6">
      <c r="A67" s="1307" t="s">
        <v>55</v>
      </c>
      <c r="B67" s="1307" t="s">
        <v>58</v>
      </c>
      <c r="C67" s="1306">
        <v>0</v>
      </c>
      <c r="D67" s="1306">
        <v>0</v>
      </c>
      <c r="E67" s="1306">
        <v>0</v>
      </c>
      <c r="F67" s="1306">
        <v>0</v>
      </c>
    </row>
    <row r="68" spans="1:6">
      <c r="A68" s="1300" t="s">
        <v>55</v>
      </c>
      <c r="B68" s="1300" t="s">
        <v>59</v>
      </c>
      <c r="C68" s="1309">
        <v>12</v>
      </c>
      <c r="D68" s="1309">
        <v>2224096.9959757398</v>
      </c>
      <c r="E68" s="1309">
        <v>37</v>
      </c>
      <c r="F68" s="1309">
        <v>1384666</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123286534</v>
      </c>
      <c r="E73" s="450"/>
      <c r="F73" s="330"/>
    </row>
    <row r="74" spans="1:6">
      <c r="A74" s="1305" t="s">
        <v>63</v>
      </c>
      <c r="B74" s="1305" t="s">
        <v>710</v>
      </c>
      <c r="C74" s="1319" t="s">
        <v>712</v>
      </c>
      <c r="D74" s="1320">
        <v>13204555.263084881</v>
      </c>
      <c r="E74" s="450"/>
      <c r="F74" s="330"/>
    </row>
    <row r="75" spans="1:6">
      <c r="A75" s="1305" t="s">
        <v>64</v>
      </c>
      <c r="B75" s="1305" t="s">
        <v>709</v>
      </c>
      <c r="C75" s="1319" t="s">
        <v>713</v>
      </c>
      <c r="D75" s="1320">
        <v>54062597</v>
      </c>
      <c r="E75" s="450"/>
      <c r="F75" s="330"/>
    </row>
    <row r="76" spans="1:6">
      <c r="A76" s="1305" t="s">
        <v>64</v>
      </c>
      <c r="B76" s="1305" t="s">
        <v>710</v>
      </c>
      <c r="C76" s="1319" t="s">
        <v>714</v>
      </c>
      <c r="D76" s="1320">
        <v>2123093.263084881</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773435.47383023764</v>
      </c>
      <c r="C83" s="450"/>
      <c r="D83" s="330"/>
      <c r="E83" s="330"/>
      <c r="F83" s="330"/>
    </row>
    <row r="84" spans="1:6">
      <c r="A84" s="1300" t="s">
        <v>336</v>
      </c>
      <c r="B84" s="1321">
        <v>301948.02428868844</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7148.6673528715764</v>
      </c>
      <c r="C91" s="330"/>
      <c r="D91" s="330"/>
      <c r="E91" s="330"/>
      <c r="F91" s="330"/>
    </row>
    <row r="92" spans="1:6">
      <c r="A92" s="1300" t="s">
        <v>68</v>
      </c>
      <c r="B92" s="1301">
        <v>17305.41867804154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2815</v>
      </c>
      <c r="C97" s="330"/>
      <c r="D97" s="330"/>
      <c r="E97" s="330"/>
      <c r="F97" s="330"/>
    </row>
    <row r="98" spans="1:6">
      <c r="A98" s="1305" t="s">
        <v>71</v>
      </c>
      <c r="B98" s="1306">
        <v>1</v>
      </c>
      <c r="C98" s="330"/>
      <c r="D98" s="330"/>
      <c r="E98" s="330"/>
      <c r="F98" s="330"/>
    </row>
    <row r="99" spans="1:6">
      <c r="A99" s="1305" t="s">
        <v>72</v>
      </c>
      <c r="B99" s="1306">
        <v>245</v>
      </c>
      <c r="C99" s="330"/>
      <c r="D99" s="330"/>
      <c r="E99" s="330"/>
      <c r="F99" s="330"/>
    </row>
    <row r="100" spans="1:6">
      <c r="A100" s="1305" t="s">
        <v>73</v>
      </c>
      <c r="B100" s="1306">
        <v>1781</v>
      </c>
      <c r="C100" s="330"/>
      <c r="D100" s="330"/>
      <c r="E100" s="330"/>
      <c r="F100" s="330"/>
    </row>
    <row r="101" spans="1:6">
      <c r="A101" s="1305" t="s">
        <v>74</v>
      </c>
      <c r="B101" s="1306">
        <v>249</v>
      </c>
      <c r="C101" s="330"/>
      <c r="D101" s="330"/>
      <c r="E101" s="330"/>
      <c r="F101" s="330"/>
    </row>
    <row r="102" spans="1:6">
      <c r="A102" s="1305" t="s">
        <v>75</v>
      </c>
      <c r="B102" s="1306">
        <v>206</v>
      </c>
      <c r="C102" s="330"/>
      <c r="D102" s="330"/>
      <c r="E102" s="330"/>
      <c r="F102" s="330"/>
    </row>
    <row r="103" spans="1:6">
      <c r="A103" s="1305" t="s">
        <v>76</v>
      </c>
      <c r="B103" s="1306">
        <v>399</v>
      </c>
      <c r="C103" s="330"/>
      <c r="D103" s="330"/>
      <c r="E103" s="330"/>
      <c r="F103" s="330"/>
    </row>
    <row r="104" spans="1:6">
      <c r="A104" s="1305" t="s">
        <v>77</v>
      </c>
      <c r="B104" s="1306">
        <v>6177</v>
      </c>
      <c r="C104" s="330"/>
      <c r="D104" s="330"/>
      <c r="E104" s="330"/>
      <c r="F104" s="330"/>
    </row>
    <row r="105" spans="1:6">
      <c r="A105" s="1300" t="s">
        <v>78</v>
      </c>
      <c r="B105" s="1309">
        <v>16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63</v>
      </c>
      <c r="C123" s="1306">
        <v>48</v>
      </c>
      <c r="D123" s="330"/>
      <c r="E123" s="330"/>
      <c r="F123" s="330"/>
    </row>
    <row r="124" spans="1:6" s="43" customFormat="1">
      <c r="A124" s="1307" t="s">
        <v>88</v>
      </c>
      <c r="B124" s="1328">
        <v>2</v>
      </c>
      <c r="C124" s="1328">
        <v>2</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284</v>
      </c>
      <c r="C129" s="330"/>
      <c r="D129" s="330"/>
      <c r="E129" s="330"/>
      <c r="F129" s="330"/>
    </row>
    <row r="130" spans="1:6">
      <c r="A130" s="1305" t="s">
        <v>294</v>
      </c>
      <c r="B130" s="1306">
        <v>6</v>
      </c>
      <c r="C130" s="330"/>
      <c r="D130" s="330"/>
      <c r="E130" s="330"/>
      <c r="F130" s="330"/>
    </row>
    <row r="131" spans="1:6">
      <c r="A131" s="1305" t="s">
        <v>295</v>
      </c>
      <c r="B131" s="1306">
        <v>4</v>
      </c>
      <c r="C131" s="330"/>
      <c r="D131" s="330"/>
      <c r="E131" s="330"/>
      <c r="F131" s="330"/>
    </row>
    <row r="132" spans="1:6">
      <c r="A132" s="1300" t="s">
        <v>296</v>
      </c>
      <c r="B132" s="1301">
        <v>22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200068.72087677379</v>
      </c>
      <c r="C3" s="43" t="s">
        <v>169</v>
      </c>
      <c r="D3" s="43"/>
      <c r="E3" s="154"/>
      <c r="F3" s="43"/>
      <c r="G3" s="43"/>
      <c r="H3" s="43"/>
      <c r="I3" s="43"/>
      <c r="J3" s="43"/>
      <c r="K3" s="96"/>
    </row>
    <row r="4" spans="1:11">
      <c r="A4" s="359" t="s">
        <v>170</v>
      </c>
      <c r="B4" s="49">
        <f>IF(ISERROR('SEAP template'!B78+'SEAP template'!C78),0,'SEAP template'!B78+'SEAP template'!C78)</f>
        <v>26259.936030913119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418.78164705882364</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0.1940859267147037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598.25949579831945</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2579.7857142857142</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0.23190278653200633</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2357.9839999999999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2357.9839999999999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0.1940859267147037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457.65150981844391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64747.312829999995</v>
      </c>
      <c r="C5" s="17">
        <f>IF(ISERROR('Eigen informatie GS &amp; warmtenet'!B57),0,'Eigen informatie GS &amp; warmtenet'!B57)</f>
        <v>0</v>
      </c>
      <c r="D5" s="30">
        <f>(SUM(HH_hh_gas_kWh,HH_rest_gas_kWh)/1000)*0.902</f>
        <v>97418.758166474319</v>
      </c>
      <c r="E5" s="17">
        <f>B46*B57</f>
        <v>37230.151449834535</v>
      </c>
      <c r="F5" s="17">
        <f>B51*B62</f>
        <v>42924.100453686166</v>
      </c>
      <c r="G5" s="18"/>
      <c r="H5" s="17"/>
      <c r="I5" s="17"/>
      <c r="J5" s="17">
        <f>B50*B61+C50*C61</f>
        <v>0</v>
      </c>
      <c r="K5" s="17"/>
      <c r="L5" s="17"/>
      <c r="M5" s="17"/>
      <c r="N5" s="17">
        <f>B48*B59+C48*C59</f>
        <v>27285.852777726373</v>
      </c>
      <c r="O5" s="17">
        <f>B69*B70*B71</f>
        <v>522.15333333333331</v>
      </c>
      <c r="P5" s="17">
        <f>B77*B78*B79/1000-B77*B78*B79/1000/B80</f>
        <v>1658.8</v>
      </c>
    </row>
    <row r="6" spans="1:16">
      <c r="A6" s="16" t="s">
        <v>630</v>
      </c>
      <c r="B6" s="763">
        <f>kWh_PV_kleiner_dan_10kW</f>
        <v>7148.6673528715764</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71895.980182871572</v>
      </c>
      <c r="C8" s="21">
        <f>C5</f>
        <v>0</v>
      </c>
      <c r="D8" s="21">
        <f>D5</f>
        <v>97418.758166474319</v>
      </c>
      <c r="E8" s="21">
        <f>E5</f>
        <v>37230.151449834535</v>
      </c>
      <c r="F8" s="21">
        <f>F5</f>
        <v>42924.100453686166</v>
      </c>
      <c r="G8" s="21"/>
      <c r="H8" s="21"/>
      <c r="I8" s="21"/>
      <c r="J8" s="21">
        <f>J5</f>
        <v>0</v>
      </c>
      <c r="K8" s="21"/>
      <c r="L8" s="21">
        <f>L5</f>
        <v>0</v>
      </c>
      <c r="M8" s="21">
        <f>M5</f>
        <v>0</v>
      </c>
      <c r="N8" s="21">
        <f>N5</f>
        <v>27285.852777726373</v>
      </c>
      <c r="O8" s="21">
        <f>O5</f>
        <v>522.15333333333331</v>
      </c>
      <c r="P8" s="21">
        <f>P5</f>
        <v>1658.8</v>
      </c>
    </row>
    <row r="9" spans="1:16">
      <c r="B9" s="19"/>
      <c r="C9" s="19"/>
      <c r="D9" s="258"/>
      <c r="E9" s="19"/>
      <c r="F9" s="19"/>
      <c r="G9" s="19"/>
      <c r="H9" s="19"/>
      <c r="I9" s="19"/>
      <c r="J9" s="19"/>
      <c r="K9" s="19"/>
      <c r="L9" s="19"/>
      <c r="M9" s="19"/>
      <c r="N9" s="19"/>
      <c r="O9" s="19"/>
      <c r="P9" s="19"/>
    </row>
    <row r="10" spans="1:16">
      <c r="A10" s="24" t="s">
        <v>213</v>
      </c>
      <c r="B10" s="25">
        <f ca="1">'EF ele_warmte'!B12</f>
        <v>0.1940859267147037</v>
      </c>
      <c r="C10" s="25">
        <f ca="1">'EF ele_warmte'!B22</f>
        <v>0.23190278653200633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13953.997940854602</v>
      </c>
      <c r="C12" s="23">
        <f ca="1">C10*C8</f>
        <v>0</v>
      </c>
      <c r="D12" s="23">
        <f>D8*D10</f>
        <v>19678.589149627813</v>
      </c>
      <c r="E12" s="23">
        <f>E10*E8</f>
        <v>8451.2443791124406</v>
      </c>
      <c r="F12" s="23">
        <f>F10*F8</f>
        <v>11460.734821134207</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2815</v>
      </c>
      <c r="C18" s="166" t="s">
        <v>110</v>
      </c>
      <c r="D18" s="228"/>
      <c r="E18" s="15"/>
    </row>
    <row r="19" spans="1:7">
      <c r="A19" s="171" t="s">
        <v>71</v>
      </c>
      <c r="B19" s="37">
        <f>aantalw2001_ander</f>
        <v>1</v>
      </c>
      <c r="C19" s="166" t="s">
        <v>110</v>
      </c>
      <c r="D19" s="229"/>
      <c r="E19" s="15"/>
    </row>
    <row r="20" spans="1:7">
      <c r="A20" s="171" t="s">
        <v>72</v>
      </c>
      <c r="B20" s="37">
        <f>aantalw2001_propaan</f>
        <v>245</v>
      </c>
      <c r="C20" s="167">
        <f>IF(ISERROR(B20/SUM($B$20,$B$21,$B$22)*100),0,B20/SUM($B$20,$B$21,$B$22)*100)</f>
        <v>10.76923076923077</v>
      </c>
      <c r="D20" s="229"/>
      <c r="E20" s="15"/>
    </row>
    <row r="21" spans="1:7">
      <c r="A21" s="171" t="s">
        <v>73</v>
      </c>
      <c r="B21" s="37">
        <f>aantalw2001_elektriciteit</f>
        <v>1781</v>
      </c>
      <c r="C21" s="167">
        <f>IF(ISERROR(B21/SUM($B$20,$B$21,$B$22)*100),0,B21/SUM($B$20,$B$21,$B$22)*100)</f>
        <v>78.285714285714278</v>
      </c>
      <c r="D21" s="229"/>
      <c r="E21" s="15"/>
    </row>
    <row r="22" spans="1:7">
      <c r="A22" s="171" t="s">
        <v>74</v>
      </c>
      <c r="B22" s="37">
        <f>aantalw2001_hout</f>
        <v>249</v>
      </c>
      <c r="C22" s="167">
        <f>IF(ISERROR(B22/SUM($B$20,$B$21,$B$22)*100),0,B22/SUM($B$20,$B$21,$B$22)*100)</f>
        <v>10.945054945054945</v>
      </c>
      <c r="D22" s="229"/>
      <c r="E22" s="15"/>
    </row>
    <row r="23" spans="1:7">
      <c r="A23" s="171" t="s">
        <v>75</v>
      </c>
      <c r="B23" s="37">
        <f>aantalw2001_niet_gespec</f>
        <v>206</v>
      </c>
      <c r="C23" s="166" t="s">
        <v>110</v>
      </c>
      <c r="D23" s="228"/>
      <c r="E23" s="15"/>
    </row>
    <row r="24" spans="1:7">
      <c r="A24" s="171" t="s">
        <v>76</v>
      </c>
      <c r="B24" s="37">
        <f>aantalw2001_steenkool</f>
        <v>399</v>
      </c>
      <c r="C24" s="166" t="s">
        <v>110</v>
      </c>
      <c r="D24" s="229"/>
      <c r="E24" s="15"/>
    </row>
    <row r="25" spans="1:7">
      <c r="A25" s="171" t="s">
        <v>77</v>
      </c>
      <c r="B25" s="37">
        <f>aantalw2001_stookolie</f>
        <v>6177</v>
      </c>
      <c r="C25" s="166" t="s">
        <v>110</v>
      </c>
      <c r="D25" s="228"/>
      <c r="E25" s="52"/>
    </row>
    <row r="26" spans="1:7">
      <c r="A26" s="171" t="s">
        <v>78</v>
      </c>
      <c r="B26" s="37">
        <f>aantalw2001_WP</f>
        <v>16</v>
      </c>
      <c r="C26" s="166" t="s">
        <v>110</v>
      </c>
      <c r="D26" s="228"/>
      <c r="E26" s="15"/>
    </row>
    <row r="27" spans="1:7" s="15" customFormat="1">
      <c r="A27" s="171"/>
      <c r="B27" s="29"/>
      <c r="C27" s="36"/>
      <c r="D27" s="228"/>
    </row>
    <row r="28" spans="1:7" s="15" customFormat="1">
      <c r="A28" s="230" t="s">
        <v>736</v>
      </c>
      <c r="B28" s="37">
        <f>aantalHuishoudens</f>
        <v>13883</v>
      </c>
      <c r="C28" s="36"/>
      <c r="D28" s="228"/>
    </row>
    <row r="29" spans="1:7" s="15" customFormat="1">
      <c r="A29" s="230" t="s">
        <v>737</v>
      </c>
      <c r="B29" s="37">
        <f>SUM(HH_hh_gas_aantal,HH_rest_gas_aantal)</f>
        <v>7548</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7548</v>
      </c>
      <c r="C32" s="167">
        <f>IF(ISERROR(B32/SUM($B$32,$B$34,$B$35,$B$36,$B$38,$B$39)*100),0,B32/SUM($B$32,$B$34,$B$35,$B$36,$B$38,$B$39)*100)</f>
        <v>54.711510582777613</v>
      </c>
      <c r="D32" s="233"/>
      <c r="G32" s="15"/>
    </row>
    <row r="33" spans="1:7">
      <c r="A33" s="171" t="s">
        <v>71</v>
      </c>
      <c r="B33" s="34" t="s">
        <v>110</v>
      </c>
      <c r="C33" s="167"/>
      <c r="D33" s="233"/>
      <c r="G33" s="15"/>
    </row>
    <row r="34" spans="1:7">
      <c r="A34" s="171" t="s">
        <v>72</v>
      </c>
      <c r="B34" s="33">
        <f>IF((($B$28-$B$32-$B$39-$B$77-$B$38)*C20/100)&lt;0,0,($B$28-$B$32-$B$39-$B$77-$B$38)*C20/100)</f>
        <v>466.38307692307694</v>
      </c>
      <c r="C34" s="167">
        <f>IF(ISERROR(B34/SUM($B$32,$B$34,$B$35,$B$36,$B$38,$B$39)*100),0,B34/SUM($B$32,$B$34,$B$35,$B$36,$B$38,$B$39)*100)</f>
        <v>3.3805673885407144</v>
      </c>
      <c r="D34" s="233"/>
      <c r="G34" s="15"/>
    </row>
    <row r="35" spans="1:7">
      <c r="A35" s="171" t="s">
        <v>73</v>
      </c>
      <c r="B35" s="33">
        <f>IF((($B$28-$B$32-$B$39-$B$77-$B$38)*C21/100)&lt;0,0,($B$28-$B$32-$B$39-$B$77-$B$38)*C21/100)</f>
        <v>3390.3194285714285</v>
      </c>
      <c r="C35" s="167">
        <f>IF(ISERROR(B35/SUM($B$32,$B$34,$B$35,$B$36,$B$38,$B$39)*100),0,B35/SUM($B$32,$B$34,$B$35,$B$36,$B$38,$B$39)*100)</f>
        <v>24.574655179555151</v>
      </c>
      <c r="D35" s="233"/>
      <c r="G35" s="15"/>
    </row>
    <row r="36" spans="1:7">
      <c r="A36" s="171" t="s">
        <v>74</v>
      </c>
      <c r="B36" s="33">
        <f>IF((($B$28-$B$32-$B$39-$B$77-$B$38)*C22/100)&lt;0,0,($B$28-$B$32-$B$39-$B$77-$B$38)*C22/100)</f>
        <v>473.99749450549444</v>
      </c>
      <c r="C36" s="167">
        <f>IF(ISERROR(B36/SUM($B$32,$B$34,$B$35,$B$36,$B$38,$B$39)*100),0,B36/SUM($B$32,$B$34,$B$35,$B$36,$B$38,$B$39)*100)</f>
        <v>3.4357603254964806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1917.3000000000002</v>
      </c>
      <c r="C39" s="167">
        <f>IF(ISERROR(B39/SUM($B$32,$B$34,$B$35,$B$36,$B$38,$B$39)*100),0,B39/SUM($B$32,$B$34,$B$35,$B$36,$B$38,$B$39)*100)</f>
        <v>13.897506523630037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7548</v>
      </c>
      <c r="C44" s="34" t="s">
        <v>110</v>
      </c>
      <c r="D44" s="174"/>
    </row>
    <row r="45" spans="1:7">
      <c r="A45" s="171" t="s">
        <v>71</v>
      </c>
      <c r="B45" s="33" t="str">
        <f t="shared" si="0"/>
        <v>-</v>
      </c>
      <c r="C45" s="34" t="s">
        <v>110</v>
      </c>
      <c r="D45" s="174"/>
    </row>
    <row r="46" spans="1:7">
      <c r="A46" s="171" t="s">
        <v>72</v>
      </c>
      <c r="B46" s="33">
        <f t="shared" si="0"/>
        <v>466.38307692307694</v>
      </c>
      <c r="C46" s="34" t="s">
        <v>110</v>
      </c>
      <c r="D46" s="174"/>
    </row>
    <row r="47" spans="1:7">
      <c r="A47" s="171" t="s">
        <v>73</v>
      </c>
      <c r="B47" s="33">
        <f t="shared" si="0"/>
        <v>3390.3194285714285</v>
      </c>
      <c r="C47" s="34" t="s">
        <v>110</v>
      </c>
      <c r="D47" s="174"/>
    </row>
    <row r="48" spans="1:7">
      <c r="A48" s="171" t="s">
        <v>74</v>
      </c>
      <c r="B48" s="33">
        <f t="shared" si="0"/>
        <v>473.99749450549444</v>
      </c>
      <c r="C48" s="33">
        <f>B48*10</f>
        <v>4739.9749450549443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1917.3000000000002</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334</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87</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41782.417200000004</v>
      </c>
      <c r="C5" s="17">
        <f>IF(ISERROR('Eigen informatie GS &amp; warmtenet'!B58),0,'Eigen informatie GS &amp; warmtenet'!B58)</f>
        <v>0</v>
      </c>
      <c r="D5" s="30">
        <f>SUM(D6:D12)</f>
        <v>47718.951347163558</v>
      </c>
      <c r="E5" s="17">
        <f>SUM(E6:E12)</f>
        <v>345.90241303320386</v>
      </c>
      <c r="F5" s="17">
        <f>SUM(F6:F12)</f>
        <v>6125.3337794030522</v>
      </c>
      <c r="G5" s="18"/>
      <c r="H5" s="17"/>
      <c r="I5" s="17"/>
      <c r="J5" s="17">
        <f>SUM(J6:J12)</f>
        <v>0</v>
      </c>
      <c r="K5" s="17"/>
      <c r="L5" s="17"/>
      <c r="M5" s="17"/>
      <c r="N5" s="17">
        <f>SUM(N6:N12)</f>
        <v>4405.5591756578106</v>
      </c>
      <c r="O5" s="17">
        <f>B38*B39*B40</f>
        <v>9.3800000000000008</v>
      </c>
      <c r="P5" s="17">
        <f>B46*B47*B48/1000-B46*B47*B48/1000/B49</f>
        <v>76.266666666666666</v>
      </c>
      <c r="R5" s="32"/>
    </row>
    <row r="6" spans="1:18">
      <c r="A6" s="32" t="s">
        <v>53</v>
      </c>
      <c r="B6" s="37">
        <f>B26</f>
        <v>10908.995000000001</v>
      </c>
      <c r="C6" s="33"/>
      <c r="D6" s="37">
        <f>IF(ISERROR(TER_kantoor_gas_kWh/1000),0,TER_kantoor_gas_kWh/1000)*0.902</f>
        <v>8357.19378783719</v>
      </c>
      <c r="E6" s="33">
        <f>$C$26*'E Balans VL '!I12/100/3.6*1000000</f>
        <v>31.60495909151641</v>
      </c>
      <c r="F6" s="33">
        <f>$C$26*('E Balans VL '!L12+'E Balans VL '!N12)/100/3.6*1000000</f>
        <v>1234.6578902057322</v>
      </c>
      <c r="G6" s="34"/>
      <c r="H6" s="33"/>
      <c r="I6" s="33"/>
      <c r="J6" s="33">
        <f>$C$26*('E Balans VL '!D12+'E Balans VL '!E12)/100/3.6*1000000</f>
        <v>0</v>
      </c>
      <c r="K6" s="33"/>
      <c r="L6" s="33"/>
      <c r="M6" s="33"/>
      <c r="N6" s="33">
        <f>$C$26*'E Balans VL '!Y12/100/3.6*1000000</f>
        <v>109.19100184359246</v>
      </c>
      <c r="O6" s="33"/>
      <c r="P6" s="33"/>
      <c r="R6" s="32"/>
    </row>
    <row r="7" spans="1:18">
      <c r="A7" s="32" t="s">
        <v>52</v>
      </c>
      <c r="B7" s="37">
        <f t="shared" ref="B7:B12" si="0">B27</f>
        <v>1895.864</v>
      </c>
      <c r="C7" s="33"/>
      <c r="D7" s="37">
        <f>IF(ISERROR(TER_horeca_gas_kWh/1000),0,TER_horeca_gas_kWh/1000)*0.902</f>
        <v>2101.3859605538987</v>
      </c>
      <c r="E7" s="33">
        <f>$C$27*'E Balans VL '!I9/100/3.6*1000000</f>
        <v>79.583073780671839</v>
      </c>
      <c r="F7" s="33">
        <f>$C$27*('E Balans VL '!L9+'E Balans VL '!N9)/100/3.6*1000000</f>
        <v>407.36525875299787</v>
      </c>
      <c r="G7" s="34"/>
      <c r="H7" s="33"/>
      <c r="I7" s="33"/>
      <c r="J7" s="33">
        <f>$C$27*('E Balans VL '!D9+'E Balans VL '!E9)/100/3.6*1000000</f>
        <v>0</v>
      </c>
      <c r="K7" s="33"/>
      <c r="L7" s="33"/>
      <c r="M7" s="33"/>
      <c r="N7" s="33">
        <f>$C$27*'E Balans VL '!Y9/100/3.6*1000000</f>
        <v>0.48854757286784473</v>
      </c>
      <c r="O7" s="33"/>
      <c r="P7" s="33"/>
      <c r="R7" s="32"/>
    </row>
    <row r="8" spans="1:18">
      <c r="A8" s="6" t="s">
        <v>51</v>
      </c>
      <c r="B8" s="37">
        <f t="shared" si="0"/>
        <v>11637.615</v>
      </c>
      <c r="C8" s="33"/>
      <c r="D8" s="37">
        <f>IF(ISERROR(TER_handel_gas_kWh/1000),0,TER_handel_gas_kWh/1000)*0.902</f>
        <v>5727.4571771886785</v>
      </c>
      <c r="E8" s="33">
        <f>$C$28*'E Balans VL '!I13/100/3.6*1000000</f>
        <v>124.99767081163276</v>
      </c>
      <c r="F8" s="33">
        <f>$C$28*('E Balans VL '!L13+'E Balans VL '!N13)/100/3.6*1000000</f>
        <v>1506.5853631935586</v>
      </c>
      <c r="G8" s="34"/>
      <c r="H8" s="33"/>
      <c r="I8" s="33"/>
      <c r="J8" s="33">
        <f>$C$28*('E Balans VL '!D13+'E Balans VL '!E13)/100/3.6*1000000</f>
        <v>0</v>
      </c>
      <c r="K8" s="33"/>
      <c r="L8" s="33"/>
      <c r="M8" s="33"/>
      <c r="N8" s="33">
        <f>$C$28*'E Balans VL '!Y13/100/3.6*1000000</f>
        <v>94.404968321407708</v>
      </c>
      <c r="O8" s="33"/>
      <c r="P8" s="33"/>
      <c r="R8" s="32"/>
    </row>
    <row r="9" spans="1:18">
      <c r="A9" s="32" t="s">
        <v>50</v>
      </c>
      <c r="B9" s="37">
        <f t="shared" si="0"/>
        <v>1580.883</v>
      </c>
      <c r="C9" s="33"/>
      <c r="D9" s="37">
        <f>IF(ISERROR(TER_gezond_gas_kWh/1000),0,TER_gezond_gas_kWh/1000)*0.902</f>
        <v>4181.2268437061302</v>
      </c>
      <c r="E9" s="33">
        <f>$C$29*'E Balans VL '!I10/100/3.6*1000000</f>
        <v>1.2584851167731146</v>
      </c>
      <c r="F9" s="33">
        <f>$C$29*('E Balans VL '!L10+'E Balans VL '!N10)/100/3.6*1000000</f>
        <v>192.17917446708202</v>
      </c>
      <c r="G9" s="34"/>
      <c r="H9" s="33"/>
      <c r="I9" s="33"/>
      <c r="J9" s="33">
        <f>$C$29*('E Balans VL '!D10+'E Balans VL '!E10)/100/3.6*1000000</f>
        <v>0</v>
      </c>
      <c r="K9" s="33"/>
      <c r="L9" s="33"/>
      <c r="M9" s="33"/>
      <c r="N9" s="33">
        <f>$C$29*'E Balans VL '!Y10/100/3.6*1000000</f>
        <v>12.769954046567664</v>
      </c>
      <c r="O9" s="33"/>
      <c r="P9" s="33"/>
      <c r="R9" s="32"/>
    </row>
    <row r="10" spans="1:18">
      <c r="A10" s="32" t="s">
        <v>49</v>
      </c>
      <c r="B10" s="37">
        <f t="shared" si="0"/>
        <v>4717.5929999999998</v>
      </c>
      <c r="C10" s="33"/>
      <c r="D10" s="37">
        <f>IF(ISERROR(TER_ander_gas_kWh/1000),0,TER_ander_gas_kWh/1000)*0.902</f>
        <v>2771.3428310117756</v>
      </c>
      <c r="E10" s="33">
        <f>$C$30*'E Balans VL '!I14/100/3.6*1000000</f>
        <v>16.167439041567825</v>
      </c>
      <c r="F10" s="33">
        <f>$C$30*('E Balans VL '!L14+'E Balans VL '!N14)/100/3.6*1000000</f>
        <v>1053.7185758021164</v>
      </c>
      <c r="G10" s="34"/>
      <c r="H10" s="33"/>
      <c r="I10" s="33"/>
      <c r="J10" s="33">
        <f>$C$30*('E Balans VL '!D14+'E Balans VL '!E14)/100/3.6*1000000</f>
        <v>0</v>
      </c>
      <c r="K10" s="33"/>
      <c r="L10" s="33"/>
      <c r="M10" s="33"/>
      <c r="N10" s="33">
        <f>$C$30*'E Balans VL '!Y14/100/3.6*1000000</f>
        <v>3323.0982809067928</v>
      </c>
      <c r="O10" s="33"/>
      <c r="P10" s="33"/>
      <c r="R10" s="32"/>
    </row>
    <row r="11" spans="1:18">
      <c r="A11" s="32" t="s">
        <v>54</v>
      </c>
      <c r="B11" s="37">
        <f t="shared" si="0"/>
        <v>902.62119999999993</v>
      </c>
      <c r="C11" s="33"/>
      <c r="D11" s="37">
        <f>IF(ISERROR(TER_onderwijs_gas_kWh/1000),0,TER_onderwijs_gas_kWh/1000)*0.902</f>
        <v>431.16738926495594</v>
      </c>
      <c r="E11" s="33">
        <f>$C$31*'E Balans VL '!I11/100/3.6*1000000</f>
        <v>0.62395423701482</v>
      </c>
      <c r="F11" s="33">
        <f>$C$31*('E Balans VL '!L11+'E Balans VL '!N11)/100/3.6*1000000</f>
        <v>236.28001079316672</v>
      </c>
      <c r="G11" s="34"/>
      <c r="H11" s="33"/>
      <c r="I11" s="33"/>
      <c r="J11" s="33">
        <f>$C$31*('E Balans VL '!D11+'E Balans VL '!E11)/100/3.6*1000000</f>
        <v>0</v>
      </c>
      <c r="K11" s="33"/>
      <c r="L11" s="33"/>
      <c r="M11" s="33"/>
      <c r="N11" s="33">
        <f>$C$31*'E Balans VL '!Y11/100/3.6*1000000</f>
        <v>0.89848252532340267</v>
      </c>
      <c r="O11" s="33"/>
      <c r="P11" s="33"/>
      <c r="R11" s="32"/>
    </row>
    <row r="12" spans="1:18">
      <c r="A12" s="32" t="s">
        <v>259</v>
      </c>
      <c r="B12" s="37">
        <f t="shared" si="0"/>
        <v>10138.846</v>
      </c>
      <c r="C12" s="33"/>
      <c r="D12" s="37">
        <f>IF(ISERROR(TER_rest_gas_kWh/1000),0,TER_rest_gas_kWh/1000)*0.902</f>
        <v>24149.177357600929</v>
      </c>
      <c r="E12" s="33">
        <f>$C$32*'E Balans VL '!I8/100/3.6*1000000</f>
        <v>91.666830954027063</v>
      </c>
      <c r="F12" s="33">
        <f>$C$32*('E Balans VL '!L8+'E Balans VL '!N8)/100/3.6*1000000</f>
        <v>1494.547506188399</v>
      </c>
      <c r="G12" s="34"/>
      <c r="H12" s="33"/>
      <c r="I12" s="33"/>
      <c r="J12" s="33">
        <f>$C$32*('E Balans VL '!D8+'E Balans VL '!E8)/100/3.6*1000000</f>
        <v>0</v>
      </c>
      <c r="K12" s="33"/>
      <c r="L12" s="33"/>
      <c r="M12" s="33"/>
      <c r="N12" s="33">
        <f>$C$32*'E Balans VL '!Y8/100/3.6*1000000</f>
        <v>864.70794044125876</v>
      </c>
      <c r="O12" s="33"/>
      <c r="P12" s="33"/>
      <c r="R12" s="32"/>
    </row>
    <row r="13" spans="1:18">
      <c r="A13" s="16" t="s">
        <v>493</v>
      </c>
      <c r="B13" s="247">
        <f ca="1">'lokale energieproductie'!N40+'lokale energieproductie'!N33</f>
        <v>56.7</v>
      </c>
      <c r="C13" s="247">
        <f ca="1">'lokale energieproductie'!O40+'lokale energieproductie'!O33</f>
        <v>81</v>
      </c>
      <c r="D13" s="308">
        <f ca="1">('lokale energieproductie'!P33+'lokale energieproductie'!P40)*(-1)</f>
        <v>-162.00000000000003</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41839.117200000001</v>
      </c>
      <c r="C16" s="21">
        <f t="shared" ca="1" si="1"/>
        <v>81</v>
      </c>
      <c r="D16" s="21">
        <f t="shared" ca="1" si="1"/>
        <v>47556.951347163558</v>
      </c>
      <c r="E16" s="21">
        <f t="shared" si="1"/>
        <v>345.90241303320386</v>
      </c>
      <c r="F16" s="21">
        <f t="shared" ca="1" si="1"/>
        <v>6125.3337794030522</v>
      </c>
      <c r="G16" s="21">
        <f t="shared" si="1"/>
        <v>0</v>
      </c>
      <c r="H16" s="21">
        <f t="shared" si="1"/>
        <v>0</v>
      </c>
      <c r="I16" s="21">
        <f t="shared" si="1"/>
        <v>0</v>
      </c>
      <c r="J16" s="21">
        <f t="shared" si="1"/>
        <v>0</v>
      </c>
      <c r="K16" s="21">
        <f t="shared" si="1"/>
        <v>0</v>
      </c>
      <c r="L16" s="21">
        <f t="shared" ca="1" si="1"/>
        <v>0</v>
      </c>
      <c r="M16" s="21">
        <f t="shared" si="1"/>
        <v>0</v>
      </c>
      <c r="N16" s="21">
        <f t="shared" ca="1" si="1"/>
        <v>4405.5591756578106</v>
      </c>
      <c r="O16" s="21">
        <f>O5</f>
        <v>9.3800000000000008</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0.1940859267147037</v>
      </c>
      <c r="C18" s="25">
        <f ca="1">'EF ele_warmte'!B22</f>
        <v>0.23190278653200633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8120.3838346870998</v>
      </c>
      <c r="C20" s="23">
        <f t="shared" ref="C20:P20" ca="1" si="2">C16*C18</f>
        <v>18.784125709092514</v>
      </c>
      <c r="D20" s="23">
        <f t="shared" ca="1" si="2"/>
        <v>9606.5041721270391</v>
      </c>
      <c r="E20" s="23">
        <f t="shared" si="2"/>
        <v>78.519847758537281</v>
      </c>
      <c r="F20" s="23">
        <f t="shared" ca="1" si="2"/>
        <v>1635.4641191006151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10908.995000000001</v>
      </c>
      <c r="C26" s="39">
        <f>IF(ISERROR(B26*3.6/1000000/'E Balans VL '!Z12*100),0,B26*3.6/1000000/'E Balans VL '!Z12*100)</f>
        <v>0.23962868723615707</v>
      </c>
      <c r="D26" s="237" t="s">
        <v>691</v>
      </c>
      <c r="F26" s="6"/>
    </row>
    <row r="27" spans="1:18">
      <c r="A27" s="231" t="s">
        <v>52</v>
      </c>
      <c r="B27" s="33">
        <f>IF(ISERROR(TER_horeca_ele_kWh/1000),0,TER_horeca_ele_kWh/1000)</f>
        <v>1895.864</v>
      </c>
      <c r="C27" s="39">
        <f>IF(ISERROR(B27*3.6/1000000/'E Balans VL '!Z9*100),0,B27*3.6/1000000/'E Balans VL '!Z9*100)</f>
        <v>0.15235157059556012</v>
      </c>
      <c r="D27" s="237" t="s">
        <v>691</v>
      </c>
      <c r="F27" s="6"/>
    </row>
    <row r="28" spans="1:18">
      <c r="A28" s="171" t="s">
        <v>51</v>
      </c>
      <c r="B28" s="33">
        <f>IF(ISERROR(TER_handel_ele_kWh/1000),0,TER_handel_ele_kWh/1000)</f>
        <v>11637.615</v>
      </c>
      <c r="C28" s="39">
        <f>IF(ISERROR(B28*3.6/1000000/'E Balans VL '!Z13*100),0,B28*3.6/1000000/'E Balans VL '!Z13*100)</f>
        <v>0.34411614534145452</v>
      </c>
      <c r="D28" s="237" t="s">
        <v>691</v>
      </c>
      <c r="F28" s="6"/>
    </row>
    <row r="29" spans="1:18">
      <c r="A29" s="231" t="s">
        <v>50</v>
      </c>
      <c r="B29" s="33">
        <f>IF(ISERROR(TER_gezond_ele_kWh/1000),0,TER_gezond_ele_kWh/1000)</f>
        <v>1580.883</v>
      </c>
      <c r="C29" s="39">
        <f>IF(ISERROR(B29*3.6/1000000/'E Balans VL '!Z10*100),0,B29*3.6/1000000/'E Balans VL '!Z10*100)</f>
        <v>0.17812469929877384</v>
      </c>
      <c r="D29" s="237" t="s">
        <v>691</v>
      </c>
      <c r="F29" s="6"/>
    </row>
    <row r="30" spans="1:18">
      <c r="A30" s="231" t="s">
        <v>49</v>
      </c>
      <c r="B30" s="33">
        <f>IF(ISERROR(TER_ander_ele_kWh/1000),0,TER_ander_ele_kWh/1000)</f>
        <v>4717.5929999999998</v>
      </c>
      <c r="C30" s="39">
        <f>IF(ISERROR(B30*3.6/1000000/'E Balans VL '!Z14*100),0,B30*3.6/1000000/'E Balans VL '!Z14*100)</f>
        <v>0.35678349422903421</v>
      </c>
      <c r="D30" s="237" t="s">
        <v>691</v>
      </c>
      <c r="F30" s="6"/>
    </row>
    <row r="31" spans="1:18">
      <c r="A31" s="231" t="s">
        <v>54</v>
      </c>
      <c r="B31" s="33">
        <f>IF(ISERROR(TER_onderwijs_ele_kWh/1000),0,TER_onderwijs_ele_kWh/1000)</f>
        <v>902.62119999999993</v>
      </c>
      <c r="C31" s="39">
        <f>IF(ISERROR(B31*3.6/1000000/'E Balans VL '!Z11*100),0,B31*3.6/1000000/'E Balans VL '!Z11*100)</f>
        <v>0.18736320766838255</v>
      </c>
      <c r="D31" s="237" t="s">
        <v>691</v>
      </c>
    </row>
    <row r="32" spans="1:18">
      <c r="A32" s="231" t="s">
        <v>259</v>
      </c>
      <c r="B32" s="33">
        <f>IF(ISERROR(TER_rest_ele_kWh/1000),0,TER_rest_ele_kWh/1000)</f>
        <v>10138.846</v>
      </c>
      <c r="C32" s="39">
        <f>IF(ISERROR(B32*3.6/1000000/'E Balans VL '!Z8*100),0,B32*3.6/1000000/'E Balans VL '!Z8*100)</f>
        <v>8.5413813068883224E-2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76158.872900000002</v>
      </c>
      <c r="C5" s="17">
        <f>IF(ISERROR('Eigen informatie GS &amp; warmtenet'!B59),0,'Eigen informatie GS &amp; warmtenet'!B59)</f>
        <v>0</v>
      </c>
      <c r="D5" s="30">
        <f>SUM(D6:D15)</f>
        <v>76430.796101899105</v>
      </c>
      <c r="E5" s="17">
        <f>SUM(E6:E15)</f>
        <v>2026.3757020394646</v>
      </c>
      <c r="F5" s="17">
        <f>SUM(F6:F15)</f>
        <v>13185.045376885528</v>
      </c>
      <c r="G5" s="18"/>
      <c r="H5" s="17"/>
      <c r="I5" s="17"/>
      <c r="J5" s="17">
        <f>SUM(J6:J15)</f>
        <v>164.55671616953003</v>
      </c>
      <c r="K5" s="17"/>
      <c r="L5" s="17"/>
      <c r="M5" s="17"/>
      <c r="N5" s="17">
        <f>SUM(N6:N15)</f>
        <v>3780.8308391863256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496.32069999999999</v>
      </c>
      <c r="C8" s="33"/>
      <c r="D8" s="37">
        <f>IF( ISERROR(IND_metaal_Gas_kWH/1000),0,IND_metaal_Gas_kWH/1000)*0.902</f>
        <v>186.34569492205014</v>
      </c>
      <c r="E8" s="33">
        <f>C30*'E Balans VL '!I18/100/3.6*1000000</f>
        <v>12.421170035764623</v>
      </c>
      <c r="F8" s="33">
        <f>C30*'E Balans VL '!L18/100/3.6*1000000+C30*'E Balans VL '!N18/100/3.6*1000000</f>
        <v>155.5493762061285</v>
      </c>
      <c r="G8" s="34"/>
      <c r="H8" s="33"/>
      <c r="I8" s="33"/>
      <c r="J8" s="40">
        <f>C30*'E Balans VL '!D18/100/3.6*1000000+C30*'E Balans VL '!E18/100/3.6*1000000</f>
        <v>0</v>
      </c>
      <c r="K8" s="33"/>
      <c r="L8" s="33"/>
      <c r="M8" s="33"/>
      <c r="N8" s="33">
        <f>C30*'E Balans VL '!Y18/100/3.6*1000000</f>
        <v>12.468864048536593</v>
      </c>
      <c r="O8" s="33"/>
      <c r="P8" s="33"/>
      <c r="R8" s="32"/>
    </row>
    <row r="9" spans="1:18">
      <c r="A9" s="6" t="s">
        <v>32</v>
      </c>
      <c r="B9" s="37">
        <f t="shared" si="0"/>
        <v>2349.143</v>
      </c>
      <c r="C9" s="33"/>
      <c r="D9" s="37">
        <f>IF( ISERROR(IND_andere_gas_kWh/1000),0,IND_andere_gas_kWh/1000)*0.902</f>
        <v>33563.878754075296</v>
      </c>
      <c r="E9" s="33">
        <f>C31*'E Balans VL '!I19/100/3.6*1000000</f>
        <v>645.91797476925626</v>
      </c>
      <c r="F9" s="33">
        <f>C31*'E Balans VL '!L19/100/3.6*1000000+C31*'E Balans VL '!N19/100/3.6*1000000</f>
        <v>1851.5334642315865</v>
      </c>
      <c r="G9" s="34"/>
      <c r="H9" s="33"/>
      <c r="I9" s="33"/>
      <c r="J9" s="40">
        <f>C31*'E Balans VL '!D19/100/3.6*1000000+C31*'E Balans VL '!E19/100/3.6*1000000</f>
        <v>0</v>
      </c>
      <c r="K9" s="33"/>
      <c r="L9" s="33"/>
      <c r="M9" s="33"/>
      <c r="N9" s="33">
        <f>C31*'E Balans VL '!Y19/100/3.6*1000000</f>
        <v>189.24844040531855</v>
      </c>
      <c r="O9" s="33"/>
      <c r="P9" s="33"/>
      <c r="R9" s="32"/>
    </row>
    <row r="10" spans="1:18">
      <c r="A10" s="6" t="s">
        <v>40</v>
      </c>
      <c r="B10" s="37">
        <f t="shared" si="0"/>
        <v>2868.7020000000002</v>
      </c>
      <c r="C10" s="33"/>
      <c r="D10" s="37">
        <f>IF( ISERROR(IND_voed_gas_kWh/1000),0,IND_voed_gas_kWh/1000)*0.902</f>
        <v>1501.4733182770858</v>
      </c>
      <c r="E10" s="33">
        <f>C32*'E Balans VL '!I20/100/3.6*1000000</f>
        <v>29.244836513050533</v>
      </c>
      <c r="F10" s="33">
        <f>C32*'E Balans VL '!L20/100/3.6*1000000+C32*'E Balans VL '!N20/100/3.6*1000000</f>
        <v>5418.9601360009492</v>
      </c>
      <c r="G10" s="34"/>
      <c r="H10" s="33"/>
      <c r="I10" s="33"/>
      <c r="J10" s="40">
        <f>C32*'E Balans VL '!D20/100/3.6*1000000+C32*'E Balans VL '!E20/100/3.6*1000000</f>
        <v>68.657425295440149</v>
      </c>
      <c r="K10" s="33"/>
      <c r="L10" s="33"/>
      <c r="M10" s="33"/>
      <c r="N10" s="33">
        <f>C32*'E Balans VL '!Y20/100/3.6*1000000</f>
        <v>1512.1363879514106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121.17660000000001</v>
      </c>
      <c r="C12" s="33"/>
      <c r="D12" s="37">
        <f>IF( ISERROR(IND_min_gas_kWh/1000),0,IND_min_gas_kWh/1000)*0.902</f>
        <v>0</v>
      </c>
      <c r="E12" s="33">
        <f>C34*'E Balans VL '!I22/100/3.6*1000000</f>
        <v>0.36698910680959473</v>
      </c>
      <c r="F12" s="33">
        <f>C34*'E Balans VL '!L22/100/3.6*1000000+C34*'E Balans VL '!N22/100/3.6*1000000</f>
        <v>3.7868729298981014</v>
      </c>
      <c r="G12" s="34"/>
      <c r="H12" s="33"/>
      <c r="I12" s="33"/>
      <c r="J12" s="40">
        <f>C34*'E Balans VL '!D22/100/3.6*1000000+C34*'E Balans VL '!E22/100/3.6*1000000</f>
        <v>0.17967799798092171</v>
      </c>
      <c r="K12" s="33"/>
      <c r="L12" s="33"/>
      <c r="M12" s="33"/>
      <c r="N12" s="33">
        <f>C34*'E Balans VL '!Y22/100/3.6*1000000</f>
        <v>0</v>
      </c>
      <c r="O12" s="33"/>
      <c r="P12" s="33"/>
      <c r="R12" s="32"/>
    </row>
    <row r="13" spans="1:18">
      <c r="A13" s="6" t="s">
        <v>38</v>
      </c>
      <c r="B13" s="37">
        <f t="shared" si="0"/>
        <v>237.14959999999999</v>
      </c>
      <c r="C13" s="33"/>
      <c r="D13" s="37">
        <f>IF( ISERROR(IND_papier_gas_kWh/1000),0,IND_papier_gas_kWh/1000)*0.902</f>
        <v>254.04158381199699</v>
      </c>
      <c r="E13" s="33">
        <f>C35*'E Balans VL '!I23/100/3.6*1000000</f>
        <v>0.49115282881255301</v>
      </c>
      <c r="F13" s="33">
        <f>C35*'E Balans VL '!L23/100/3.6*1000000+C35*'E Balans VL '!N23/100/3.6*1000000</f>
        <v>4.7031849763337084</v>
      </c>
      <c r="G13" s="34"/>
      <c r="H13" s="33"/>
      <c r="I13" s="33"/>
      <c r="J13" s="40">
        <f>C35*'E Balans VL '!D23/100/3.6*1000000+C35*'E Balans VL '!E23/100/3.6*1000000</f>
        <v>0</v>
      </c>
      <c r="K13" s="33"/>
      <c r="L13" s="33"/>
      <c r="M13" s="33"/>
      <c r="N13" s="33">
        <f>C35*'E Balans VL '!Y23/100/3.6*1000000</f>
        <v>16.447523443768521</v>
      </c>
      <c r="O13" s="33"/>
      <c r="P13" s="33"/>
      <c r="R13" s="32"/>
    </row>
    <row r="14" spans="1:18">
      <c r="A14" s="6" t="s">
        <v>33</v>
      </c>
      <c r="B14" s="37">
        <f t="shared" si="0"/>
        <v>47270.63</v>
      </c>
      <c r="C14" s="33"/>
      <c r="D14" s="37">
        <f>IF( ISERROR(IND_chemie_gas_kWh/1000),0,IND_chemie_gas_kWh/1000)*0.902</f>
        <v>0</v>
      </c>
      <c r="E14" s="33">
        <f>C36*'E Balans VL '!I24/100/3.6*1000000</f>
        <v>177.22536047717182</v>
      </c>
      <c r="F14" s="33">
        <f>C36*'E Balans VL '!L24/100/3.6*1000000+C36*'E Balans VL '!N24/100/3.6*1000000</f>
        <v>549.94426491771617</v>
      </c>
      <c r="G14" s="34"/>
      <c r="H14" s="33"/>
      <c r="I14" s="33"/>
      <c r="J14" s="40">
        <f>C36*'E Balans VL '!D24/100/3.6*1000000+C36*'E Balans VL '!E24/100/3.6*1000000</f>
        <v>0</v>
      </c>
      <c r="K14" s="33"/>
      <c r="L14" s="33"/>
      <c r="M14" s="33"/>
      <c r="N14" s="33">
        <f>C36*'E Balans VL '!Y24/100/3.6*1000000</f>
        <v>807.59602745257428</v>
      </c>
      <c r="O14" s="33"/>
      <c r="P14" s="33"/>
      <c r="R14" s="32"/>
    </row>
    <row r="15" spans="1:18">
      <c r="A15" s="6" t="s">
        <v>269</v>
      </c>
      <c r="B15" s="37">
        <f t="shared" si="0"/>
        <v>22815.751</v>
      </c>
      <c r="C15" s="33"/>
      <c r="D15" s="37">
        <f>IF( ISERROR(IND_rest_gas_kWh/1000),0,IND_rest_gas_kWh/1000)*0.902</f>
        <v>40925.056750812677</v>
      </c>
      <c r="E15" s="33">
        <f>C37*'E Balans VL '!I15/100/3.6*1000000</f>
        <v>1160.7082183085993</v>
      </c>
      <c r="F15" s="33">
        <f>C37*'E Balans VL '!L15/100/3.6*1000000+C37*'E Balans VL '!N15/100/3.6*1000000</f>
        <v>5200.5680776229156</v>
      </c>
      <c r="G15" s="34"/>
      <c r="H15" s="33"/>
      <c r="I15" s="33"/>
      <c r="J15" s="40">
        <f>C37*'E Balans VL '!D15/100/3.6*1000000+C37*'E Balans VL '!E15/100/3.6*1000000</f>
        <v>95.719612876108982</v>
      </c>
      <c r="K15" s="33"/>
      <c r="L15" s="33"/>
      <c r="M15" s="33"/>
      <c r="N15" s="33">
        <f>C37*'E Balans VL '!Y15/100/3.6*1000000</f>
        <v>1242.9335958847175</v>
      </c>
      <c r="O15" s="33"/>
      <c r="P15" s="33"/>
      <c r="R15" s="32"/>
    </row>
    <row r="16" spans="1:18">
      <c r="A16" s="16" t="s">
        <v>493</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76158.872900000002</v>
      </c>
      <c r="C18" s="21">
        <f>C5+C16</f>
        <v>0</v>
      </c>
      <c r="D18" s="21">
        <f>MAX((D5+D16),0)</f>
        <v>76430.796101899105</v>
      </c>
      <c r="E18" s="21">
        <f>MAX((E5+E16),0)</f>
        <v>2026.3757020394646</v>
      </c>
      <c r="F18" s="21">
        <f>MAX((F5+F16),0)</f>
        <v>13185.045376885528</v>
      </c>
      <c r="G18" s="21"/>
      <c r="H18" s="21"/>
      <c r="I18" s="21"/>
      <c r="J18" s="21">
        <f>MAX((J5+J16),0)</f>
        <v>164.55671616953003</v>
      </c>
      <c r="K18" s="21"/>
      <c r="L18" s="21">
        <f>MAX((L5+L16),0)</f>
        <v>0</v>
      </c>
      <c r="M18" s="21"/>
      <c r="N18" s="21">
        <f>MAX((N5+N16),0)</f>
        <v>3780.8308391863256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0.1940859267147037</v>
      </c>
      <c r="C20" s="25">
        <f ca="1">'EF ele_warmte'!B22</f>
        <v>0.23190278653200633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14781.365424343834</v>
      </c>
      <c r="C22" s="23">
        <f ca="1">C18*C20</f>
        <v>0</v>
      </c>
      <c r="D22" s="23">
        <f>D18*D20</f>
        <v>15439.02081258362</v>
      </c>
      <c r="E22" s="23">
        <f>E18*E20</f>
        <v>459.98728436295846</v>
      </c>
      <c r="F22" s="23">
        <f>F18*F20</f>
        <v>3520.4071156284363</v>
      </c>
      <c r="G22" s="23"/>
      <c r="H22" s="23"/>
      <c r="I22" s="23"/>
      <c r="J22" s="23">
        <f>J18*J20</f>
        <v>58.253077524013626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496.32069999999999</v>
      </c>
      <c r="C30" s="39">
        <f>IF(ISERROR(B30*3.6/1000000/'E Balans VL '!Z18*100),0,B30*3.6/1000000/'E Balans VL '!Z18*100)</f>
        <v>6.9468357929949293E-2</v>
      </c>
      <c r="D30" s="237" t="s">
        <v>691</v>
      </c>
    </row>
    <row r="31" spans="1:18">
      <c r="A31" s="6" t="s">
        <v>32</v>
      </c>
      <c r="B31" s="37">
        <f>IF( ISERROR(IND_ander_ele_kWh/1000),0,IND_ander_ele_kWh/1000)</f>
        <v>2349.143</v>
      </c>
      <c r="C31" s="39">
        <f>IF(ISERROR(B31*3.6/1000000/'E Balans VL '!Z19*100),0,B31*3.6/1000000/'E Balans VL '!Z19*100)</f>
        <v>0.10282160802486298</v>
      </c>
      <c r="D31" s="237" t="s">
        <v>691</v>
      </c>
    </row>
    <row r="32" spans="1:18">
      <c r="A32" s="171" t="s">
        <v>40</v>
      </c>
      <c r="B32" s="37">
        <f>IF( ISERROR(IND_voed_ele_kWh/1000),0,IND_voed_ele_kWh/1000)</f>
        <v>2868.7020000000002</v>
      </c>
      <c r="C32" s="39">
        <f>IF(ISERROR(B32*3.6/1000000/'E Balans VL '!Z20*100),0,B32*3.6/1000000/'E Balans VL '!Z20*100)</f>
        <v>0.7101953503055668</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121.17660000000001</v>
      </c>
      <c r="C34" s="39">
        <f>IF(ISERROR(B34*3.6/1000000/'E Balans VL '!Z22*100),0,B34*3.6/1000000/'E Balans VL '!Z22*100)</f>
        <v>3.4384975340418593E-3</v>
      </c>
      <c r="D34" s="237" t="s">
        <v>691</v>
      </c>
    </row>
    <row r="35" spans="1:5">
      <c r="A35" s="171" t="s">
        <v>38</v>
      </c>
      <c r="B35" s="37">
        <f>IF( ISERROR(IND_papier_ele_kWh/1000),0,IND_papier_ele_kWh/1000)</f>
        <v>237.14959999999999</v>
      </c>
      <c r="C35" s="39">
        <f>IF(ISERROR(B35*3.6/1000000/'E Balans VL '!Z22*100),0,B35*3.6/1000000/'E Balans VL '!Z22*100)</f>
        <v>6.7293381296307467E-3</v>
      </c>
      <c r="D35" s="237" t="s">
        <v>691</v>
      </c>
    </row>
    <row r="36" spans="1:5">
      <c r="A36" s="171" t="s">
        <v>33</v>
      </c>
      <c r="B36" s="37">
        <f>IF( ISERROR(IND_chemie_ele_kWh/1000),0,IND_chemie_ele_kWh/1000)</f>
        <v>47270.63</v>
      </c>
      <c r="C36" s="39">
        <f>IF(ISERROR(B36*3.6/1000000/'E Balans VL '!Z24*100),0,B36*3.6/1000000/'E Balans VL '!Z24*100)</f>
        <v>1.2053289140922487</v>
      </c>
      <c r="D36" s="237" t="s">
        <v>691</v>
      </c>
    </row>
    <row r="37" spans="1:5">
      <c r="A37" s="171" t="s">
        <v>269</v>
      </c>
      <c r="B37" s="37">
        <f>IF( ISERROR(IND_rest_ele_kWh/1000),0,IND_rest_ele_kWh/1000)</f>
        <v>22815.751</v>
      </c>
      <c r="C37" s="39">
        <f>IF(ISERROR(B37*3.6/1000000/'E Balans VL '!Z15*100),0,B37*3.6/1000000/'E Balans VL '!Z15*100)</f>
        <v>0.16917488744313142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4816.4422000000004</v>
      </c>
      <c r="C5" s="17">
        <f>'Eigen informatie GS &amp; warmtenet'!B60</f>
        <v>0</v>
      </c>
      <c r="D5" s="30">
        <f>IF(ISERROR(SUM(LB_lb_gas_kWh,LB_rest_gas_kWh)/1000),0,SUM(LB_lb_gas_kWh,LB_rest_gas_kWh)/1000)*0.902</f>
        <v>5448.927794282733</v>
      </c>
      <c r="E5" s="17">
        <f>B17*'E Balans VL '!I25/3.6*1000000/100</f>
        <v>44.611904967828508</v>
      </c>
      <c r="F5" s="17">
        <f>B17*('E Balans VL '!L25/3.6*1000000+'E Balans VL '!N25/3.6*1000000)/100</f>
        <v>12220.231392697511</v>
      </c>
      <c r="G5" s="18"/>
      <c r="H5" s="17"/>
      <c r="I5" s="17"/>
      <c r="J5" s="17">
        <f>('E Balans VL '!D25+'E Balans VL '!E25)/3.6*1000000*landbouw!B17/100</f>
        <v>738.41434091183135</v>
      </c>
      <c r="K5" s="17"/>
      <c r="L5" s="17">
        <f>L6*(-1)</f>
        <v>0</v>
      </c>
      <c r="M5" s="17"/>
      <c r="N5" s="17">
        <f>N6*(-1)</f>
        <v>124.71428571428569</v>
      </c>
      <c r="O5" s="17"/>
      <c r="P5" s="17"/>
      <c r="R5" s="32"/>
    </row>
    <row r="6" spans="1:18">
      <c r="A6" s="16" t="s">
        <v>493</v>
      </c>
      <c r="B6" s="17" t="s">
        <v>210</v>
      </c>
      <c r="C6" s="17">
        <f>'lokale energieproductie'!O41+'lokale energieproductie'!O34</f>
        <v>2498.7857142857142</v>
      </c>
      <c r="D6" s="308">
        <f>('lokale energieproductie'!P34+'lokale energieproductie'!P41)*(-1)</f>
        <v>-4872.8571428571431</v>
      </c>
      <c r="E6" s="248"/>
      <c r="F6" s="308">
        <f>('lokale energieproductie'!S34+'lokale energieproductie'!S870)*(-1)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4816.4422000000004</v>
      </c>
      <c r="C8" s="21">
        <f>C5+C6</f>
        <v>2498.7857142857142</v>
      </c>
      <c r="D8" s="21">
        <f>MAX((D5+D6),0)</f>
        <v>576.07065142558986</v>
      </c>
      <c r="E8" s="21">
        <f>MAX((E5+E6),0)</f>
        <v>44.611904967828508</v>
      </c>
      <c r="F8" s="21">
        <f>MAX((F5+F6),0)</f>
        <v>12220.231392697511</v>
      </c>
      <c r="G8" s="21"/>
      <c r="H8" s="21"/>
      <c r="I8" s="21"/>
      <c r="J8" s="21">
        <f>MAX((J5+J6),0)</f>
        <v>738.41434091183135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0.1940859267147037</v>
      </c>
      <c r="C10" s="31">
        <f ca="1">'EF ele_warmte'!B22</f>
        <v>0.23190278653200633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934.8036478548064</v>
      </c>
      <c r="C12" s="23">
        <f ca="1">C8*C10</f>
        <v>579.47537008922689</v>
      </c>
      <c r="D12" s="23">
        <f>D8*D10</f>
        <v>116.36627158796915</v>
      </c>
      <c r="E12" s="23">
        <f>E8*E10</f>
        <v>10.126902427697072</v>
      </c>
      <c r="F12" s="23">
        <f>F8*F10</f>
        <v>3262.8017818502358</v>
      </c>
      <c r="G12" s="23"/>
      <c r="H12" s="23"/>
      <c r="I12" s="23"/>
      <c r="J12" s="23">
        <f>J8*J10</f>
        <v>261.39867668278828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0.68479595461293663</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890.35911232708747</v>
      </c>
      <c r="C26" s="247">
        <f>B26*'GWP N2O_CH4'!B5</f>
        <v>18697.541358868835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309.93918201763506</v>
      </c>
      <c r="C27" s="247">
        <f>B27*'GWP N2O_CH4'!B5</f>
        <v>6508.722822370336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11.687789337935804</v>
      </c>
      <c r="C28" s="247">
        <f>B28*'GWP N2O_CH4'!B4</f>
        <v>3623.2146947600995</v>
      </c>
      <c r="D28" s="50"/>
    </row>
    <row r="29" spans="1:4">
      <c r="A29" s="41" t="s">
        <v>276</v>
      </c>
      <c r="B29" s="247">
        <f>B34*'ha_N2O bodem landbouw'!B4</f>
        <v>28.451845160339147</v>
      </c>
      <c r="C29" s="247">
        <f>B29*'GWP N2O_CH4'!B4</f>
        <v>8820.0719997051347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6.3812476244773852E-3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7.2236189824545139E-5</v>
      </c>
      <c r="C5" s="438" t="s">
        <v>210</v>
      </c>
      <c r="D5" s="423">
        <f>SUM(D6:D11)</f>
        <v>1.5342370558848323E-4</v>
      </c>
      <c r="E5" s="423">
        <f>SUM(E6:E11)</f>
        <v>1.451796469700224E-3</v>
      </c>
      <c r="F5" s="436" t="s">
        <v>210</v>
      </c>
      <c r="G5" s="423">
        <f>SUM(G6:G11)</f>
        <v>0.48176979018704236</v>
      </c>
      <c r="H5" s="423">
        <f>SUM(H6:H11)</f>
        <v>9.2570373752951768E-2</v>
      </c>
      <c r="I5" s="438" t="s">
        <v>210</v>
      </c>
      <c r="J5" s="438" t="s">
        <v>210</v>
      </c>
      <c r="K5" s="438" t="s">
        <v>210</v>
      </c>
      <c r="L5" s="438" t="s">
        <v>210</v>
      </c>
      <c r="M5" s="423">
        <f>SUM(M6:M11)</f>
        <v>3.0755301782762916E-2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5.0215918299787095E-5</v>
      </c>
      <c r="C6" s="424"/>
      <c r="D6" s="866">
        <f>vkm_GW_PW*SUMIFS(TableVerdeelsleutelVkm[CNG],TableVerdeelsleutelVkm[Voertuigtype],"Lichte voertuigen")*SUMIFS(TableECFTransport[EnergieConsumptieFactor (PJ per km)],TableECFTransport[Index],CONCATENATE($A6,"_CNG_CNG"))</f>
        <v>8.7625998450862003E-5</v>
      </c>
      <c r="E6" s="866">
        <f>vkm_GW_PW*SUMIFS(TableVerdeelsleutelVkm[LPG],TableVerdeelsleutelVkm[Voertuigtype],"Lichte voertuigen")*SUMIFS(TableECFTransport[EnergieConsumptieFactor (PJ per km)],TableECFTransport[Index],CONCATENATE($A6,"_LPG_LPG"))</f>
        <v>8.4870086950428387E-4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0.19945930787252428</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5.3661656489721717E-2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1.3200917110104219E-2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0.12359251012203529</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2.3968516232050741E-6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7.1656143240596088E-3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2.2020271524758047E-5</v>
      </c>
      <c r="C8" s="424"/>
      <c r="D8" s="426">
        <f>vkm_NGW_PW*SUMIFS(TableVerdeelsleutelVkm[CNG],TableVerdeelsleutelVkm[Voertuigtype],"Lichte voertuigen")*SUMIFS(TableECFTransport[EnergieConsumptieFactor (PJ per km)],TableECFTransport[Index],CONCATENATE($A8,"_CNG_CNG"))</f>
        <v>6.5797707137621212E-5</v>
      </c>
      <c r="E8" s="426">
        <f>vkm_NGW_PW*SUMIFS(TableVerdeelsleutelVkm[LPG],TableVerdeelsleutelVkm[Voertuigtype],"Lichte voertuigen")*SUMIFS(TableECFTransport[EnergieConsumptieFactor (PJ per km)],TableECFTransport[Index],CONCATENATE($A8,"_LPG_LPG"))</f>
        <v>6.0309560019594026E-4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0.13304397727332559</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3.8905703676394239E-2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8.9002465410826029E-3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2.5673994919157238E-2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6.1673521261290457E-7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1.4885238075164847E-3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20.065608284595875</v>
      </c>
      <c r="C14" s="21"/>
      <c r="D14" s="21">
        <f t="shared" ref="D14:M14" si="0">((D5)*10^9/3600)+D12</f>
        <v>42.617695996800897</v>
      </c>
      <c r="E14" s="21">
        <f t="shared" si="0"/>
        <v>403.27679713895111</v>
      </c>
      <c r="F14" s="21"/>
      <c r="G14" s="21">
        <f t="shared" si="0"/>
        <v>133824.94171862287</v>
      </c>
      <c r="H14" s="21">
        <f t="shared" si="0"/>
        <v>25713.99270915327</v>
      </c>
      <c r="I14" s="21"/>
      <c r="J14" s="21"/>
      <c r="K14" s="21"/>
      <c r="L14" s="21"/>
      <c r="M14" s="21">
        <f t="shared" si="0"/>
        <v>8543.1393841008103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0.1940859267147037</v>
      </c>
      <c r="C16" s="56">
        <f ca="1">'EF ele_warmte'!B22</f>
        <v>0.23190278653200633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3.8944521790100266</v>
      </c>
      <c r="C18" s="23"/>
      <c r="D18" s="23">
        <f t="shared" ref="D18:M18" si="1">D14*D16</f>
        <v>8.6087745913537823</v>
      </c>
      <c r="E18" s="23">
        <f t="shared" si="1"/>
        <v>91.543832950541912</v>
      </c>
      <c r="F18" s="23"/>
      <c r="G18" s="23">
        <f t="shared" si="1"/>
        <v>35731.259438872308</v>
      </c>
      <c r="H18" s="23">
        <f t="shared" si="1"/>
        <v>6402.7841845791645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3.8317204282234561E-3</v>
      </c>
      <c r="C50" s="319">
        <f t="shared" ref="C50:P50" si="2">SUM(C51:C52)</f>
        <v>0</v>
      </c>
      <c r="D50" s="319">
        <f t="shared" si="2"/>
        <v>0</v>
      </c>
      <c r="E50" s="319">
        <f t="shared" si="2"/>
        <v>0</v>
      </c>
      <c r="F50" s="319">
        <f t="shared" si="2"/>
        <v>0</v>
      </c>
      <c r="G50" s="319">
        <f t="shared" si="2"/>
        <v>9.8093986547137923E-3</v>
      </c>
      <c r="H50" s="319">
        <f t="shared" si="2"/>
        <v>0</v>
      </c>
      <c r="I50" s="319">
        <f t="shared" si="2"/>
        <v>0</v>
      </c>
      <c r="J50" s="319">
        <f t="shared" si="2"/>
        <v>0</v>
      </c>
      <c r="K50" s="319">
        <f t="shared" si="2"/>
        <v>0</v>
      </c>
      <c r="L50" s="319">
        <f t="shared" si="2"/>
        <v>0</v>
      </c>
      <c r="M50" s="319">
        <f t="shared" si="2"/>
        <v>5.6067537015936546E-4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9.8093986547137923E-3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5.6067537015936546E-4</v>
      </c>
      <c r="N51" s="321"/>
      <c r="O51" s="321"/>
      <c r="P51" s="324"/>
    </row>
    <row r="52" spans="1:18">
      <c r="A52" s="4" t="s">
        <v>329</v>
      </c>
      <c r="B52" s="867">
        <f>vkm_tram*SUMIFS(TableECFTransport[EnergieConsumptieFactor (PJ per km)],TableECFTransport[Index],"Tram_gemiddeld_Electric_Electric")</f>
        <v>3.8317204282234561E-3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1064.3667856176266</v>
      </c>
      <c r="C54" s="21">
        <f t="shared" ref="C54:P54" si="3">(C50)*10^9/3600</f>
        <v>0</v>
      </c>
      <c r="D54" s="21">
        <f t="shared" si="3"/>
        <v>0</v>
      </c>
      <c r="E54" s="21">
        <f t="shared" si="3"/>
        <v>0</v>
      </c>
      <c r="F54" s="21">
        <f t="shared" si="3"/>
        <v>0</v>
      </c>
      <c r="G54" s="21">
        <f t="shared" si="3"/>
        <v>2724.8329596427202</v>
      </c>
      <c r="H54" s="21">
        <f t="shared" si="3"/>
        <v>0</v>
      </c>
      <c r="I54" s="21">
        <f t="shared" si="3"/>
        <v>0</v>
      </c>
      <c r="J54" s="21">
        <f t="shared" si="3"/>
        <v>0</v>
      </c>
      <c r="K54" s="21">
        <f t="shared" si="3"/>
        <v>0</v>
      </c>
      <c r="L54" s="21">
        <f t="shared" si="3"/>
        <v>0</v>
      </c>
      <c r="M54" s="21">
        <f t="shared" si="3"/>
        <v>155.74315837760153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0.1940859267147037</v>
      </c>
      <c r="C56" s="56">
        <f ca="1">'EF ele_warmte'!B22</f>
        <v>0.23190278653200633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206.57861395094744</v>
      </c>
      <c r="C58" s="23">
        <f t="shared" ref="C58:P58" ca="1" si="4">C54*C56</f>
        <v>0</v>
      </c>
      <c r="D58" s="23">
        <f t="shared" si="4"/>
        <v>0</v>
      </c>
      <c r="E58" s="23">
        <f t="shared" si="4"/>
        <v>0</v>
      </c>
      <c r="F58" s="23">
        <f t="shared" si="4"/>
        <v>0</v>
      </c>
      <c r="G58" s="23">
        <f t="shared" si="4"/>
        <v>727.5304002246063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7" zoomScale="65" zoomScaleNormal="65" workbookViewId="0">
      <selection activeCell="M30" sqref="M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24454.086030913117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N31</f>
        <v>1805.8500000000001</v>
      </c>
      <c r="C8" s="545">
        <f>B50</f>
        <v>2073.1764705882356</v>
      </c>
      <c r="D8" s="1022"/>
      <c r="E8" s="1022">
        <f>E50</f>
        <v>0</v>
      </c>
      <c r="F8" s="1023"/>
      <c r="G8" s="546"/>
      <c r="H8" s="1022">
        <f>I50</f>
        <v>0</v>
      </c>
      <c r="I8" s="1022">
        <f>G50+F50</f>
        <v>0</v>
      </c>
      <c r="J8" s="1022">
        <f>H50+D50+C50</f>
        <v>51.352941176470587</v>
      </c>
      <c r="K8" s="1022"/>
      <c r="L8" s="1022"/>
      <c r="M8" s="1022"/>
      <c r="N8" s="547"/>
      <c r="O8" s="548">
        <f>C8*$C$12+D8*$D$12+E8*$E$12+F8*$F$12+G8*$G$12+H8*$H$12+I8*$I$12+J8*$J$12</f>
        <v>418.78164705882364</v>
      </c>
      <c r="P8" s="1253"/>
      <c r="Q8" s="1254"/>
      <c r="S8" s="986"/>
      <c r="T8" s="1274"/>
      <c r="U8" s="1274"/>
    </row>
    <row r="9" spans="1:21" s="534" customFormat="1" ht="17.45" customHeight="1" thickBot="1">
      <c r="A9" s="549" t="s">
        <v>247</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26259.936030913115</v>
      </c>
      <c r="C10" s="558">
        <f t="shared" ref="C10:L10" si="0">SUM(C8:C9)</f>
        <v>2073.1764705882356</v>
      </c>
      <c r="D10" s="558">
        <f t="shared" si="0"/>
        <v>0</v>
      </c>
      <c r="E10" s="558">
        <f t="shared" si="0"/>
        <v>0</v>
      </c>
      <c r="F10" s="558">
        <f t="shared" si="0"/>
        <v>0</v>
      </c>
      <c r="G10" s="558">
        <f t="shared" si="0"/>
        <v>0</v>
      </c>
      <c r="H10" s="558">
        <f t="shared" si="0"/>
        <v>0</v>
      </c>
      <c r="I10" s="558">
        <f t="shared" si="0"/>
        <v>0</v>
      </c>
      <c r="J10" s="558">
        <f t="shared" si="0"/>
        <v>51.352941176470587</v>
      </c>
      <c r="K10" s="558">
        <f t="shared" si="0"/>
        <v>0</v>
      </c>
      <c r="L10" s="558">
        <f t="shared" si="0"/>
        <v>0</v>
      </c>
      <c r="M10" s="1025"/>
      <c r="N10" s="1025"/>
      <c r="O10" s="559">
        <f>SUM(O4:O9)</f>
        <v>418.78164705882364</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O31</f>
        <v>2579.7857142857142</v>
      </c>
      <c r="C17" s="570">
        <f>B51</f>
        <v>2961.680672268908</v>
      </c>
      <c r="D17" s="571"/>
      <c r="E17" s="571">
        <f>E51</f>
        <v>0</v>
      </c>
      <c r="F17" s="1028"/>
      <c r="G17" s="572"/>
      <c r="H17" s="570">
        <f>I51</f>
        <v>0</v>
      </c>
      <c r="I17" s="571">
        <f>G51+F51</f>
        <v>0</v>
      </c>
      <c r="J17" s="571">
        <f>H51+D51+C51</f>
        <v>73.361344537815114</v>
      </c>
      <c r="K17" s="571"/>
      <c r="L17" s="571"/>
      <c r="M17" s="571"/>
      <c r="N17" s="1029"/>
      <c r="O17" s="573">
        <f>C17*$C$22+E17*$E$22+H17*$H$22+I17*$I$22+J17*$J$22+D17*$D$22+F17*$F$22+G17*$G$22+K17*$K$22+L17*$L$22</f>
        <v>598.25949579831945</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2579.7857142857142</v>
      </c>
      <c r="C20" s="557">
        <f>SUM(C17:C19)</f>
        <v>2961.680672268908</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76">
        <f>SUM(O17:O19)</f>
        <v>598.25949579831945</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63.75">
      <c r="A28" s="580"/>
      <c r="B28" s="771">
        <v>44019</v>
      </c>
      <c r="C28" s="771">
        <v>9940</v>
      </c>
      <c r="D28" s="628" t="s">
        <v>913</v>
      </c>
      <c r="E28" s="627" t="s">
        <v>914</v>
      </c>
      <c r="F28" s="627" t="s">
        <v>915</v>
      </c>
      <c r="G28" s="627" t="s">
        <v>916</v>
      </c>
      <c r="H28" s="627" t="s">
        <v>917</v>
      </c>
      <c r="I28" s="627" t="s">
        <v>918</v>
      </c>
      <c r="J28" s="770">
        <v>39861</v>
      </c>
      <c r="K28" s="770">
        <v>39861</v>
      </c>
      <c r="L28" s="627" t="s">
        <v>919</v>
      </c>
      <c r="M28" s="627">
        <v>12.6</v>
      </c>
      <c r="N28" s="627">
        <v>56.7</v>
      </c>
      <c r="O28" s="627">
        <v>81</v>
      </c>
      <c r="P28" s="627">
        <v>162.00000000000003</v>
      </c>
      <c r="Q28" s="627">
        <v>0</v>
      </c>
      <c r="R28" s="627">
        <v>0</v>
      </c>
      <c r="S28" s="627">
        <v>0</v>
      </c>
      <c r="T28" s="627">
        <v>0</v>
      </c>
      <c r="U28" s="627">
        <v>0</v>
      </c>
      <c r="V28" s="627">
        <v>0</v>
      </c>
      <c r="W28" s="627">
        <v>0</v>
      </c>
      <c r="X28" s="627">
        <v>1600</v>
      </c>
      <c r="Y28" s="627" t="s">
        <v>49</v>
      </c>
      <c r="Z28" s="629" t="s">
        <v>155</v>
      </c>
    </row>
    <row r="29" spans="1:26" s="581" customFormat="1" ht="25.5">
      <c r="A29" s="580"/>
      <c r="B29" s="771">
        <v>44019</v>
      </c>
      <c r="C29" s="771">
        <v>9940</v>
      </c>
      <c r="D29" s="628" t="s">
        <v>920</v>
      </c>
      <c r="E29" s="627" t="s">
        <v>921</v>
      </c>
      <c r="F29" s="627" t="s">
        <v>922</v>
      </c>
      <c r="G29" s="627" t="s">
        <v>916</v>
      </c>
      <c r="H29" s="627" t="s">
        <v>917</v>
      </c>
      <c r="I29" s="627" t="s">
        <v>921</v>
      </c>
      <c r="J29" s="770">
        <v>41185</v>
      </c>
      <c r="K29" s="770">
        <v>41214</v>
      </c>
      <c r="L29" s="627" t="s">
        <v>919</v>
      </c>
      <c r="M29" s="627">
        <v>379</v>
      </c>
      <c r="N29" s="627">
        <v>1705.5</v>
      </c>
      <c r="O29" s="627">
        <v>2436.4285714285716</v>
      </c>
      <c r="P29" s="627">
        <v>4872.8571428571431</v>
      </c>
      <c r="Q29" s="627">
        <v>0</v>
      </c>
      <c r="R29" s="627">
        <v>0</v>
      </c>
      <c r="S29" s="627">
        <v>0</v>
      </c>
      <c r="T29" s="627">
        <v>0</v>
      </c>
      <c r="U29" s="627">
        <v>0</v>
      </c>
      <c r="V29" s="627">
        <v>0</v>
      </c>
      <c r="W29" s="627">
        <v>0</v>
      </c>
      <c r="X29" s="627">
        <v>10</v>
      </c>
      <c r="Y29" s="627" t="s">
        <v>111</v>
      </c>
      <c r="Z29" s="629" t="s">
        <v>111</v>
      </c>
    </row>
    <row r="30" spans="1:26" s="581" customFormat="1" ht="25.5">
      <c r="A30" s="580"/>
      <c r="B30" s="771">
        <v>44019</v>
      </c>
      <c r="C30" s="771">
        <v>9940</v>
      </c>
      <c r="D30" s="628" t="s">
        <v>923</v>
      </c>
      <c r="E30" s="627" t="s">
        <v>924</v>
      </c>
      <c r="F30" s="627" t="s">
        <v>925</v>
      </c>
      <c r="G30" s="627" t="s">
        <v>916</v>
      </c>
      <c r="H30" s="627" t="s">
        <v>917</v>
      </c>
      <c r="I30" s="627" t="s">
        <v>926</v>
      </c>
      <c r="J30" s="770">
        <v>41151</v>
      </c>
      <c r="K30" s="770">
        <v>41275</v>
      </c>
      <c r="L30" s="627" t="s">
        <v>919</v>
      </c>
      <c r="M30" s="627">
        <v>9.6999999999999993</v>
      </c>
      <c r="N30" s="627">
        <v>43.649999999999991</v>
      </c>
      <c r="O30" s="627">
        <v>62.357142857142847</v>
      </c>
      <c r="P30" s="627">
        <v>0</v>
      </c>
      <c r="Q30" s="627">
        <v>124.71428571428569</v>
      </c>
      <c r="R30" s="627">
        <v>0</v>
      </c>
      <c r="S30" s="627">
        <v>0</v>
      </c>
      <c r="T30" s="627">
        <v>0</v>
      </c>
      <c r="U30" s="627">
        <v>0</v>
      </c>
      <c r="V30" s="627">
        <v>0</v>
      </c>
      <c r="W30" s="627">
        <v>0</v>
      </c>
      <c r="X30" s="627">
        <v>10</v>
      </c>
      <c r="Y30" s="627" t="s">
        <v>111</v>
      </c>
      <c r="Z30" s="629" t="s">
        <v>111</v>
      </c>
    </row>
    <row r="31" spans="1:26" s="565" customFormat="1">
      <c r="A31" s="583" t="s">
        <v>279</v>
      </c>
      <c r="B31" s="584"/>
      <c r="C31" s="584"/>
      <c r="D31" s="584"/>
      <c r="E31" s="584"/>
      <c r="F31" s="584"/>
      <c r="G31" s="584"/>
      <c r="H31" s="584"/>
      <c r="I31" s="584"/>
      <c r="J31" s="584"/>
      <c r="K31" s="584"/>
      <c r="L31" s="585"/>
      <c r="M31" s="585">
        <f>SUM(M28:M30)</f>
        <v>401.3</v>
      </c>
      <c r="N31" s="585">
        <f>SUM(N28:N30)</f>
        <v>1805.8500000000001</v>
      </c>
      <c r="O31" s="585">
        <f>SUM(O28:O30)</f>
        <v>2579.7857142857142</v>
      </c>
      <c r="P31" s="585">
        <f>SUM(P28:P30)</f>
        <v>5034.8571428571431</v>
      </c>
      <c r="Q31" s="585">
        <f>SUM(Q28:Q30)</f>
        <v>124.71428571428569</v>
      </c>
      <c r="R31" s="585">
        <f>SUM(R28:R30)</f>
        <v>0</v>
      </c>
      <c r="S31" s="585">
        <f>SUM(S28:S30)</f>
        <v>0</v>
      </c>
      <c r="T31" s="585">
        <f>SUM(T28:T30)</f>
        <v>0</v>
      </c>
      <c r="U31" s="585">
        <f>SUM(U28:U30)</f>
        <v>0</v>
      </c>
      <c r="V31" s="585">
        <f>SUM(V28:V30)</f>
        <v>0</v>
      </c>
      <c r="W31" s="585">
        <f>SUM(W28:W30)</f>
        <v>0</v>
      </c>
      <c r="X31" s="586"/>
      <c r="Y31" s="586"/>
      <c r="Z31" s="587"/>
    </row>
    <row r="32" spans="1:26" s="565" customFormat="1">
      <c r="A32" s="583" t="s">
        <v>286</v>
      </c>
      <c r="B32" s="584"/>
      <c r="C32" s="584"/>
      <c r="D32" s="584"/>
      <c r="E32" s="584"/>
      <c r="F32" s="584"/>
      <c r="G32" s="584"/>
      <c r="H32" s="584"/>
      <c r="I32" s="584"/>
      <c r="J32" s="584"/>
      <c r="K32" s="584"/>
      <c r="L32" s="585"/>
      <c r="M32" s="585">
        <f>SUMIF($Z$28:$Z$30,"industrie",M28:M30)</f>
        <v>0</v>
      </c>
      <c r="N32" s="585">
        <f>SUMIF($Z$28:$Z$30,"industrie",N28:N30)</f>
        <v>0</v>
      </c>
      <c r="O32" s="585">
        <f>SUMIF($Z$28:$Z$30,"industrie",O28:O30)</f>
        <v>0</v>
      </c>
      <c r="P32" s="585">
        <f>SUMIF($Z$28:$Z$30,"industrie",P28:P30)</f>
        <v>0</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5" customFormat="1">
      <c r="A33" s="583" t="s">
        <v>287</v>
      </c>
      <c r="B33" s="584"/>
      <c r="C33" s="584"/>
      <c r="D33" s="584"/>
      <c r="E33" s="584"/>
      <c r="F33" s="584"/>
      <c r="G33" s="584"/>
      <c r="H33" s="584"/>
      <c r="I33" s="584"/>
      <c r="J33" s="584"/>
      <c r="K33" s="584"/>
      <c r="L33" s="585"/>
      <c r="M33" s="585">
        <f ca="1">SUMIF($Z$28:AC30,"tertiair",M28:M30)</f>
        <v>12.6</v>
      </c>
      <c r="N33" s="585">
        <f ca="1">SUMIF($Z$28:AD30,"tertiair",N28:N30)</f>
        <v>56.7</v>
      </c>
      <c r="O33" s="585">
        <f ca="1">SUMIF($Z$28:AE30,"tertiair",O28:O30)</f>
        <v>81</v>
      </c>
      <c r="P33" s="585">
        <f ca="1">SUMIF($Z$28:AF30,"tertiair",P28:P30)</f>
        <v>162.00000000000003</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5" customFormat="1" ht="15.75" thickBot="1">
      <c r="A34" s="588" t="s">
        <v>288</v>
      </c>
      <c r="B34" s="589"/>
      <c r="C34" s="589"/>
      <c r="D34" s="589"/>
      <c r="E34" s="589"/>
      <c r="F34" s="589"/>
      <c r="G34" s="589"/>
      <c r="H34" s="589"/>
      <c r="I34" s="589"/>
      <c r="J34" s="589"/>
      <c r="K34" s="589"/>
      <c r="L34" s="590"/>
      <c r="M34" s="590">
        <f>SUMIF($Z$28:$Z$30,"landbouw",M28:M30)</f>
        <v>388.7</v>
      </c>
      <c r="N34" s="590">
        <f>SUMIF($Z$28:$Z$30,"landbouw",N28:N30)</f>
        <v>1749.15</v>
      </c>
      <c r="O34" s="590">
        <f>SUMIF($Z$28:$Z$30,"landbouw",O28:O30)</f>
        <v>2498.7857142857142</v>
      </c>
      <c r="P34" s="590">
        <f>SUMIF($Z$28:$Z$30,"landbouw",P28:P30)</f>
        <v>4872.8571428571431</v>
      </c>
      <c r="Q34" s="590">
        <f>SUMIF($Z$28:$Z$30,"landbouw",Q28:Q30)</f>
        <v>124.71428571428569</v>
      </c>
      <c r="R34" s="590">
        <f>SUMIF($Z$28:$Z$30,"landbouw",R28:R30)</f>
        <v>0</v>
      </c>
      <c r="S34" s="590">
        <f>SUMIF($Z$28:$Z$30,"landbouw",S28:S30)</f>
        <v>0</v>
      </c>
      <c r="T34" s="590">
        <f>SUMIF($Z$28:$Z$30,"landbouw",T28:T30)</f>
        <v>0</v>
      </c>
      <c r="U34" s="590">
        <f>SUMIF($Z$28:$Z$30,"landbouw",U28:U30)</f>
        <v>0</v>
      </c>
      <c r="V34" s="590">
        <f>SUMIF($Z$28:$Z$30,"landbouw",V28:V30)</f>
        <v>0</v>
      </c>
      <c r="W34" s="590">
        <f>SUMIF($Z$28:$Z$30,"landbouw",W28:W30)</f>
        <v>0</v>
      </c>
      <c r="X34" s="591"/>
      <c r="Y34" s="591"/>
      <c r="Z34" s="592"/>
    </row>
    <row r="35" spans="1:27" s="534" customFormat="1" ht="15.75" thickBot="1">
      <c r="A35" s="593"/>
      <c r="B35" s="594"/>
      <c r="C35" s="594"/>
      <c r="D35" s="594"/>
      <c r="E35" s="594"/>
      <c r="F35" s="594"/>
      <c r="G35" s="594"/>
      <c r="H35" s="594"/>
      <c r="I35" s="594"/>
      <c r="J35" s="594"/>
      <c r="K35" s="594"/>
      <c r="L35" s="577"/>
      <c r="M35" s="577"/>
      <c r="N35" s="577"/>
      <c r="O35" s="578"/>
      <c r="P35" s="578"/>
    </row>
    <row r="36" spans="1:27" s="534" customFormat="1" ht="45">
      <c r="A36" s="595" t="s">
        <v>280</v>
      </c>
      <c r="B36" s="624" t="s">
        <v>89</v>
      </c>
      <c r="C36" s="624" t="s">
        <v>90</v>
      </c>
      <c r="D36" s="624" t="s">
        <v>91</v>
      </c>
      <c r="E36" s="624" t="s">
        <v>92</v>
      </c>
      <c r="F36" s="624" t="s">
        <v>93</v>
      </c>
      <c r="G36" s="624" t="s">
        <v>94</v>
      </c>
      <c r="H36" s="624" t="s">
        <v>95</v>
      </c>
      <c r="I36" s="624" t="s">
        <v>96</v>
      </c>
      <c r="J36" s="624" t="s">
        <v>97</v>
      </c>
      <c r="K36" s="624" t="s">
        <v>98</v>
      </c>
      <c r="L36" s="624" t="s">
        <v>99</v>
      </c>
      <c r="M36" s="625" t="s">
        <v>297</v>
      </c>
      <c r="N36" s="625" t="s">
        <v>100</v>
      </c>
      <c r="O36" s="625" t="s">
        <v>101</v>
      </c>
      <c r="P36" s="625" t="s">
        <v>543</v>
      </c>
      <c r="Q36" s="625" t="s">
        <v>102</v>
      </c>
      <c r="R36" s="625" t="s">
        <v>103</v>
      </c>
      <c r="S36" s="625" t="s">
        <v>104</v>
      </c>
      <c r="T36" s="625" t="s">
        <v>105</v>
      </c>
      <c r="U36" s="625" t="s">
        <v>106</v>
      </c>
      <c r="V36" s="625" t="s">
        <v>107</v>
      </c>
      <c r="W36" s="624" t="s">
        <v>108</v>
      </c>
      <c r="X36" s="624" t="s">
        <v>298</v>
      </c>
      <c r="Y36" s="624" t="s">
        <v>109</v>
      </c>
      <c r="Z36" s="626" t="s">
        <v>299</v>
      </c>
    </row>
    <row r="37" spans="1:27" s="596" customFormat="1" ht="12.75">
      <c r="A37" s="582"/>
      <c r="B37" s="771"/>
      <c r="C37" s="771"/>
      <c r="D37" s="630"/>
      <c r="E37" s="630"/>
      <c r="F37" s="630"/>
      <c r="G37" s="630"/>
      <c r="H37" s="630"/>
      <c r="I37" s="630"/>
      <c r="J37" s="770"/>
      <c r="K37" s="770"/>
      <c r="L37" s="630"/>
      <c r="M37" s="630"/>
      <c r="N37" s="630"/>
      <c r="O37" s="630"/>
      <c r="P37" s="630"/>
      <c r="Q37" s="630"/>
      <c r="R37" s="630"/>
      <c r="S37" s="630"/>
      <c r="T37" s="630"/>
      <c r="U37" s="630"/>
      <c r="V37" s="630"/>
      <c r="W37" s="630"/>
      <c r="X37" s="630"/>
      <c r="Y37" s="630"/>
      <c r="Z37" s="631"/>
    </row>
    <row r="38" spans="1:27" s="565" customFormat="1">
      <c r="A38" s="583" t="s">
        <v>279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5" customFormat="1">
      <c r="A39" s="583" t="s">
        <v>286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5" customFormat="1">
      <c r="A40" s="583" t="s">
        <v>287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5" customFormat="1" ht="15.75" thickBot="1">
      <c r="A41" s="588" t="s">
        <v>288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281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282</v>
      </c>
      <c r="C46" s="607" t="s">
        <v>283</v>
      </c>
      <c r="D46" s="607"/>
      <c r="E46" s="607"/>
      <c r="F46" s="607"/>
      <c r="G46" s="607"/>
      <c r="H46" s="607"/>
      <c r="I46" s="608"/>
      <c r="J46" s="607"/>
      <c r="K46" s="607"/>
      <c r="L46" s="607"/>
      <c r="M46" s="607"/>
      <c r="N46" s="607"/>
      <c r="O46" s="607"/>
      <c r="P46" s="602"/>
    </row>
    <row r="47" spans="1:27">
      <c r="A47" s="604" t="s">
        <v>279</v>
      </c>
      <c r="B47" s="609">
        <f>IF(ISERROR(O31/(O31+N31)),0,O31/(O31+N31))</f>
        <v>0.58823529411764708</v>
      </c>
      <c r="C47" s="610">
        <f>IF(ISERROR(N31/(O31+N31)),0,N31/(N31+O31))</f>
        <v>0.41176470588235298</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543</v>
      </c>
      <c r="C49" s="617" t="s">
        <v>102</v>
      </c>
      <c r="D49" s="617" t="s">
        <v>103</v>
      </c>
      <c r="E49" s="617" t="s">
        <v>104</v>
      </c>
      <c r="F49" s="617" t="s">
        <v>105</v>
      </c>
      <c r="G49" s="617" t="s">
        <v>106</v>
      </c>
      <c r="H49" s="617" t="s">
        <v>107</v>
      </c>
      <c r="I49" s="618" t="s">
        <v>108</v>
      </c>
      <c r="J49" s="607"/>
      <c r="K49" s="607"/>
      <c r="L49" s="615"/>
      <c r="M49" s="615"/>
      <c r="N49" s="615"/>
      <c r="O49" s="602"/>
      <c r="P49" s="602"/>
    </row>
    <row r="50" spans="1:16">
      <c r="A50" s="606" t="s">
        <v>284</v>
      </c>
      <c r="B50" s="619">
        <f t="shared" ref="B50:I50" si="2">$C$47*P31</f>
        <v>2073.1764705882356</v>
      </c>
      <c r="C50" s="619">
        <f t="shared" si="2"/>
        <v>51.352941176470587</v>
      </c>
      <c r="D50" s="619">
        <f t="shared" si="2"/>
        <v>0</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285</v>
      </c>
      <c r="B51" s="622">
        <f t="shared" ref="B51:I51" si="3">$B$47*P31</f>
        <v>2961.680672268908</v>
      </c>
      <c r="C51" s="622">
        <f t="shared" si="3"/>
        <v>73.361344537815114</v>
      </c>
      <c r="D51" s="622">
        <f t="shared" si="3"/>
        <v>0</v>
      </c>
      <c r="E51" s="622">
        <f t="shared" si="3"/>
        <v>0</v>
      </c>
      <c r="F51" s="622">
        <f t="shared" si="3"/>
        <v>0</v>
      </c>
      <c r="G51" s="622">
        <f t="shared" si="3"/>
        <v>0</v>
      </c>
      <c r="H51" s="622">
        <f t="shared" si="3"/>
        <v>0</v>
      </c>
      <c r="I51" s="623">
        <f t="shared" si="3"/>
        <v>0</v>
      </c>
      <c r="J51" s="577"/>
      <c r="K51" s="577"/>
      <c r="L51" s="615"/>
      <c r="M51" s="615"/>
      <c r="N51" s="615"/>
      <c r="O51" s="602"/>
      <c r="P51" s="602"/>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2020-06-20T16:10:02Z</dcterms:modified>
</cp:coreProperties>
</file>