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F13" i="15" s="1"/>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1" i="18" l="1"/>
  <c r="H17" i="18" s="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J15" i="16"/>
  <c r="B7" i="48"/>
  <c r="C24" i="14"/>
  <c r="C26" i="14" s="1"/>
  <c r="Q11" i="14"/>
  <c r="P4" i="48"/>
  <c r="P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N22" i="14" s="1"/>
  <c r="N27" i="14" s="1"/>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<sst xmlns="http://schemas.openxmlformats.org/spreadsheetml/2006/main" count="2461" uniqueCount="926">
  <si>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</si>
  <si>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</si>
  <si>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</si>
  <si>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</si>
  <si>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</si>
  <si>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</si>
  <si>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</si>
  <si>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</si>
  <si>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</si>
  <si>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</si>
  <si>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</si>
  <si>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</si>
  <si>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</si>
  <si>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</si>
  <si>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</si>
  <si>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</si>
  <si>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</si>
  <si>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</si>
  <si>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</si>
  <si>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</si>
  <si>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</si>
  <si>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</si>
  <si>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</si>
  <si>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</si>
  <si>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</si>
  <si>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</si>
  <si>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</si>
  <si>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</si>
  <si>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</si>
  <si>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</si>
  <si>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</si>
  <si>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</si>
  <si>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</si>
  <si>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</si>
  <si>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</si>
  <si>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</si>
  <si>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</si>
  <si>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</si>
  <si>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</si>
  <si>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</si>
  <si>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</si>
  <si>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</si>
  <si>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</si>
  <si>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</si>
  <si>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</si>
  <si>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</si>
  <si>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</si>
  <si>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</si>
  <si>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</si>
  <si>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</si>
  <si>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</si>
  <si>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</si>
  <si>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</si>
  <si>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</si>
  <si>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</si>
  <si>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</si>
  <si>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</si>
  <si>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</si>
  <si>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</si>
  <si>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</si>
  <si>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</si>
  <si>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</si>
  <si>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</si>
  <si>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</si>
  <si>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</si>
  <si>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</si>
  <si>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</si>
  <si>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</si>
  <si>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</si>
  <si>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</si>
  <si>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</si>
  <si>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</si>
  <si>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</si>
  <si>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</si>
  <si>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</si>
  <si>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</si>
  <si>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</si>
  <si>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</si>
  <si>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</si>
  <si>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</si>
  <si>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</si>
  <si>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</si>
  <si>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</si>
  <si>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</si>
  <si>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</si>
  <si>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</si>
  <si>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</si>
  <si>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</si>
  <si>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</si>
  <si>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</si>
  <si>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</si>
  <si>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</si>
  <si>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</si>
  <si>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</si>
  <si>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</si>
  <si>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</si>
  <si>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</si>
  <si>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</si>
  <si>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</si>
  <si>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</si>
  <si>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</si>
  <si>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</si>
  <si>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</si>
  <si>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</si>
  <si>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</si>
  <si>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</si>
  <si>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</si>
  <si>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</si>
  <si>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</si>
  <si>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</si>
  <si>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</si>
  <si>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</si>
  <si>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</si>
  <si>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</si>
  <si>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</si>
  <si>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</si>
  <si>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</si>
  <si>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</si>
  <si>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</si>
  <si>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</si>
  <si>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</si>
  <si>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</si>
  <si>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</si>
  <si>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</si>
  <si>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</si>
  <si>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</si>
  <si>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</si>
  <si>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</si>
  <si>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</si>
  <si>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</si>
  <si>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</si>
  <si>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</si>
  <si>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</si>
  <si>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</si>
  <si>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</si>
  <si>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</si>
  <si>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</si>
  <si>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</si>
  <si>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</si>
  <si>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</si>
  <si>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</si>
  <si>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</si>
  <si>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</si>
  <si>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</si>
  <si>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</si>
  <si>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</si>
  <si>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</si>
  <si>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</si>
  <si>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</si>
  <si>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</si>
  <si>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</si>
  <si>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</si>
  <si>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</si>
  <si>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</si>
  <si>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</si>
  <si>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</si>
  <si>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</si>
  <si>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</si>
  <si>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</si>
  <si>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</si>
  <si>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</si>
  <si>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</si>
  <si>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</si>
  <si>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</si>
  <si>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</si>
  <si>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</si>
  <si>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</si>
  <si>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</si>
  <si>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</si>
  <si>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</si>
  <si>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</si>
  <si>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</si>
  <si>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</si>
  <si>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</si>
  <si>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</si>
  <si>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</si>
  <si>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</si>
  <si>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</si>
  <si>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</si>
  <si>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</si>
  <si>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</si>
  <si>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</si>
  <si>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</si>
  <si>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</si>
  <si>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</si>
  <si>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</si>
  <si>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</si>
  <si>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</si>
  <si>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</si>
  <si>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</si>
  <si>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</si>
  <si>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</si>
  <si>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</si>
  <si>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</si>
  <si>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</si>
  <si>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</si>
  <si>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</si>
  <si>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</si>
  <si>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</si>
  <si>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</si>
  <si>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</si>
  <si>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</si>
  <si>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</si>
  <si>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</si>
  <si>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</si>
  <si>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</si>
  <si>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</si>
  <si>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</si>
  <si>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</si>
  <si>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</si>
  <si>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</si>
  <si>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</si>
  <si>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</si>
  <si>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</si>
  <si>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</si>
  <si>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</si>
  <si>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</si>
  <si>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</si>
  <si>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</si>
  <si>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</si>
  <si>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</si>
  <si>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</si>
  <si>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</si>
  <si>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</si>
  <si>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</si>
  <si>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</si>
  <si>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</si>
  <si>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</si>
  <si>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</si>
  <si>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</si>
  <si>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</si>
  <si>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</si>
  <si>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</si>
  <si>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</si>
  <si>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</si>
  <si>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</si>
  <si>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</si>
  <si>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</si>
  <si>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</si>
  <si>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</si>
  <si>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</si>
  <si>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</si>
  <si>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</si>
  <si>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</si>
  <si>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</si>
  <si>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</si>
  <si>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</si>
  <si>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</si>
  <si>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</si>
  <si>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</si>
  <si>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</si>
  <si>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</si>
  <si>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</si>
  <si>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</si>
  <si>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</si>
  <si>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</si>
  <si>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</si>
  <si>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</si>
  <si>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</si>
  <si>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</si>
  <si>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</si>
  <si>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</si>
  <si>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</si>
  <si>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</si>
  <si>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</si>
  <si>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</si>
  <si>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</si>
  <si>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</si>
  <si>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</si>
  <si>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</si>
  <si>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</si>
  <si>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</si>
  <si>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</si>
  <si>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</si>
  <si>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</si>
  <si>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</si>
  <si>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</si>
  <si>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</si>
  <si>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</si>
  <si>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</si>
  <si>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</si>
  <si>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</si>
  <si>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</si>
  <si>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</si>
  <si>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</si>
  <si>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</si>
  <si>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</si>
  <si>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</si>
  <si>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</si>
  <si>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</si>
  <si>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</si>
  <si>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</si>
  <si>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</si>
  <si>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</si>
  <si>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</si>
  <si>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</si>
  <si>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</si>
  <si>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</si>
  <si>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</si>
  <si>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</si>
  <si>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</si>
  <si>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</si>
  <si>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</si>
  <si>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</si>
  <si>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</si>
  <si>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</si>
  <si>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</si>
  <si>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</si>
  <si>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</si>
  <si>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</si>
  <si>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</si>
  <si>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</si>
  <si>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</si>
  <si>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</si>
  <si>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</si>
  <si>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</si>
  <si>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</si>
  <si>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</si>
  <si>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</si>
  <si>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</si>
  <si>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</si>
  <si>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</si>
  <si>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</si>
  <si>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</si>
  <si>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</si>
  <si>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</si>
  <si>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</si>
  <si>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</si>
  <si>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</si>
  <si>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</si>
  <si>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</si>
  <si>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</si>
  <si>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</si>
  <si>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</si>
  <si>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</si>
  <si>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</si>
  <si>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</si>
  <si>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</si>
  <si>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</si>
  <si>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</si>
  <si>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</si>
  <si>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</si>
  <si>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</si>
  <si>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</si>
  <si>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</si>
  <si>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</si>
  <si>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</si>
  <si>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</si>
  <si>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</si>
  <si>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</si>
  <si>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</si>
  <si>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</si>
  <si>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</si>
  <si>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</si>
  <si>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</si>
  <si>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</si>
  <si>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</si>
  <si>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</si>
  <si>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</si>
  <si>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</si>
  <si>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</si>
  <si>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</si>
  <si>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</si>
  <si>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</si>
  <si>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</si>
  <si>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</si>
  <si>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</si>
  <si>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</si>
  <si>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</si>
  <si>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</si>
  <si>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</si>
  <si>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</si>
  <si>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</si>
  <si>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</si>
  <si>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</si>
  <si>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</si>
  <si>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</si>
  <si>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</si>
  <si>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</si>
  <si>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</si>
  <si>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</si>
  <si>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</si>
  <si>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</si>
  <si>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</si>
  <si>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</si>
  <si>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</si>
  <si>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</si>
  <si>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</si>
  <si>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</si>
  <si>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</si>
  <si>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</si>
  <si>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</si>
  <si>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</si>
  <si>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</si>
  <si>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</si>
  <si>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</si>
  <si>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</si>
  <si>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</si>
  <si>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</si>
  <si>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</si>
  <si>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</si>
  <si>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</si>
  <si>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</si>
  <si>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</si>
  <si>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</si>
  <si>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</si>
  <si>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</si>
  <si>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</si>
  <si>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</si>
  <si>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</si>
  <si>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</si>
  <si>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</si>
  <si>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</si>
  <si>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</si>
  <si>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</si>
  <si>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</si>
  <si>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</si>
  <si>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</si>
  <si>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</si>
  <si>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</si>
  <si>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</si>
  <si>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</si>
  <si>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</si>
  <si>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</si>
  <si>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</si>
  <si>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</si>
  <si>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</si>
  <si>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</si>
  <si>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</si>
  <si>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</si>
  <si>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</si>
  <si>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</si>
  <si>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</si>
  <si>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</si>
  <si>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</si>
  <si>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</si>
  <si>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</si>
  <si>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</si>
  <si>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</si>
  <si>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</si>
  <si>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</si>
  <si>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</si>
  <si>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</si>
  <si>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</si>
  <si>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</si>
  <si>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</si>
  <si>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</si>
  <si>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</si>
  <si>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</si>
  <si>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</si>
  <si>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</si>
  <si>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</si>
  <si>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</si>
  <si>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</si>
  <si>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</si>
  <si>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</si>
  <si>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</si>
  <si>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</si>
  <si>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</si>
  <si>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</si>
  <si>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</si>
  <si>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</si>
  <si>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</si>
  <si>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</si>
  <si>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</si>
  <si>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</si>
  <si>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</si>
  <si>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</si>
  <si>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</si>
  <si>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</si>
  <si>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</si>
  <si>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</si>
  <si>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</si>
  <si>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</si>
  <si>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</si>
  <si>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</si>
  <si>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</si>
  <si>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</si>
  <si>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</si>
  <si>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</si>
  <si>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</si>
  <si>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</si>
  <si>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</si>
  <si>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</si>
  <si>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</si>
  <si>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</si>
  <si>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</si>
  <si>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</si>
  <si>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</si>
  <si>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</si>
  <si>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</si>
  <si>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</si>
  <si>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</si>
  <si>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</si>
  <si>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</si>
  <si>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</si>
  <si>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</si>
  <si>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</si>
  <si>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</si>
  <si>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</si>
  <si>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</si>
  <si>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</si>
  <si>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</si>
  <si>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</si>
  <si>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</si>
  <si>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</si>
  <si>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</si>
  <si>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</si>
  <si>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</si>
  <si>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</si>
  <si>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</si>
  <si>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</si>
  <si>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</si>
  <si>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</si>
  <si>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</si>
  <si>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</si>
  <si>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</si>
  <si>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</si>
  <si>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</si>
  <si>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</si>
  <si>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</si>
  <si>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</si>
  <si>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</si>
  <si>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</si>
  <si>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</si>
  <si>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</si>
  <si>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</si>
  <si>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</si>
  <si>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</si>
  <si>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</si>
  <si>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</si>
  <si>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</si>
  <si>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</si>
  <si>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</si>
  <si>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</si>
  <si>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</si>
  <si>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</si>
  <si>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</si>
  <si>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</si>
  <si>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</si>
  <si>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</si>
  <si>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</si>
  <si>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</si>
  <si>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</si>
  <si>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</si>
  <si>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</si>
  <si>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</si>
  <si>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</si>
  <si>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</si>
  <si>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</si>
  <si>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</si>
  <si>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</si>
  <si>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</si>
  <si>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</si>
  <si>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</si>
  <si>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</si>
  <si>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</si>
  <si>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</si>
  <si>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</si>
  <si>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</si>
  <si>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</si>
  <si>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</si>
  <si>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</si>
  <si>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</si>
  <si>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</si>
  <si>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</si>
  <si>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</si>
  <si>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</si>
  <si>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</si>
  <si>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</si>
  <si>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</si>
  <si>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</si>
  <si>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</si>
  <si>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</si>
  <si>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</si>
  <si>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</si>
  <si>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</si>
  <si>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</si>
  <si>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</si>
  <si>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</si>
  <si>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</si>
  <si>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</si>
  <si>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</si>
  <si>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</si>
  <si>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</si>
  <si>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</si>
  <si>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</si>
  <si>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</si>
  <si>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</si>
  <si>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</si>
  <si>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</si>
  <si>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</si>
  <si>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</si>
  <si>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</si>
  <si>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</si>
  <si>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</si>
  <si>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</si>
  <si>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</si>
  <si>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</si>
  <si>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</si>
  <si>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</si>
  <si>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</si>
  <si>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</si>
  <si>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</si>
  <si>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</si>
  <si>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</si>
  <si>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</si>
  <si>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</si>
  <si>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</si>
  <si>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</si>
  <si>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</si>
  <si>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</si>
  <si>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</si>
  <si>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</si>
  <si>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</si>
  <si>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</si>
  <si>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</si>
  <si>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</si>
  <si>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</si>
  <si>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</si>
  <si>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</si>
  <si>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</si>
  <si>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</si>
  <si>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</si>
  <si>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</si>
  <si>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</si>
  <si>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</si>
  <si>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</si>
  <si>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</si>
  <si>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</si>
  <si>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</si>
  <si>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</si>
  <si>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</si>
  <si>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</si>
  <si>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</si>
  <si>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</si>
  <si>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</si>
  <si>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</si>
  <si>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</si>
  <si>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</si>
  <si>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</si>
  <si>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</si>
  <si>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</si>
  <si>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</si>
  <si>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</si>
  <si>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</si>
  <si>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</si>
  <si>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</si>
  <si>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</si>
  <si>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</si>
  <si>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</si>
  <si>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</si>
  <si>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</si>
  <si>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</si>
  <si>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</si>
  <si>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</si>
  <si>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</si>
  <si>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</si>
  <si>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</si>
  <si>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</si>
  <si>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</si>
  <si>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</si>
  <si>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</si>
  <si>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</si>
  <si>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</si>
  <si>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</si>
  <si>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</si>
  <si>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</si>
  <si>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</si>
  <si>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</si>
  <si>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</si>
  <si>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</si>
  <si>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</si>
  <si>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</si>
  <si>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</si>
  <si>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</si>
  <si>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</si>
  <si>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</si>
  <si>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</si>
  <si>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</si>
  <si>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</si>
  <si>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</si>
  <si>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</si>
  <si>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</si>
  <si>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</si>
  <si>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</si>
  <si>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</si>
  <si>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</si>
  <si>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</si>
  <si>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</si>
  <si>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</si>
  <si>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</si>
  <si>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</si>
  <si>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</si>
  <si>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</si>
  <si>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</si>
  <si>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</si>
  <si>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</si>
  <si>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</si>
  <si>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</si>
  <si>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</si>
  <si>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</si>
  <si>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</si>
  <si>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</si>
  <si>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</si>
  <si>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</si>
  <si>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</si>
  <si>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</si>
  <si>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</si>
  <si>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</si>
  <si>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</si>
  <si>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</si>
  <si>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</si>
  <si>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</si>
  <si>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</si>
  <si>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</si>
  <si>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</si>
  <si>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</si>
  <si>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</si>
  <si>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</si>
  <si>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</si>
  <si>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</si>
  <si>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</si>
  <si>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</si>
  <si>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</si>
  <si>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</si>
  <si>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</si>
  <si>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</si>
  <si>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</si>
  <si>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</si>
  <si>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</si>
  <si>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</si>
  <si>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</si>
  <si>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</si>
  <si>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</si>
  <si>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</si>
  <si>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</si>
  <si>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</si>
  <si>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</si>
  <si>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</si>
  <si>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</si>
  <si>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</si>
  <si>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</si>
  <si>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</si>
  <si>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</si>
  <si>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</si>
  <si>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</si>
  <si>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</si>
  <si>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</si>
  <si>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</si>
  <si>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</si>
  <si>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</si>
  <si>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</si>
  <si>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</si>
  <si>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</si>
  <si>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</si>
  <si>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</si>
  <si>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</si>
  <si>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</si>
  <si>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</si>
  <si>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</si>
  <si>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</si>
  <si>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</si>
  <si>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</si>
  <si>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</si>
  <si>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</si>
  <si>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</si>
  <si>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</si>
  <si>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</si>
  <si>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</si>
  <si>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</si>
  <si>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</si>
  <si>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</si>
  <si>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</si>
  <si>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</si>
  <si>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</si>
  <si>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</si>
  <si>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</si>
  <si>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</si>
  <si>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</si>
  <si>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</si>
  <si>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</si>
  <si>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</si>
  <si>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</si>
  <si>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</si>
  <si>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</si>
  <si>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</si>
  <si>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</si>
  <si>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</si>
  <si>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</si>
  <si>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</si>
  <si>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</si>
  <si>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</si>
  <si>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</si>
  <si>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</si>
  <si>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</si>
  <si>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</si>
  <si>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</si>
  <si>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</si>
  <si>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</si>
  <si>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</si>
  <si>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</si>
  <si>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</si>
  <si>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</si>
  <si>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</si>
  <si>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</si>
  <si>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</si>
  <si>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</si>
  <si>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</si>
  <si>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</si>
  <si>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</si>
  <si>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</si>
  <si>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</si>
  <si>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</si>
  <si>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</si>
  <si>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</si>
  <si>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</si>
  <si>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</si>
  <si>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</si>
  <si>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</si>
  <si>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</si>
  <si>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</si>
  <si>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</si>
  <si>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</si>
  <si>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</si>
  <si>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</si>
  <si>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</si>
  <si>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</si>
  <si>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</si>
  <si>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</si>
  <si>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</si>
  <si>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</si>
  <si>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</si>
  <si>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</si>
  <si>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</si>
  <si>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</si>
  <si>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</si>
  <si>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</si>
  <si>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</si>
  <si>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</si>
  <si>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</si>
  <si>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</si>
  <si>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</si>
  <si>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</si>
  <si>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</si>
  <si>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</si>
  <si>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</si>
  <si>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</si>
  <si>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</si>
  <si>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</si>
  <si>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</si>
  <si>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</si>
  <si>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</si>
  <si>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</si>
  <si>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</si>
  <si>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</si>
  <si>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</si>
  <si>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</si>
  <si>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</si>
  <si>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</si>
  <si>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</si>
  <si>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</si>
  <si>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</si>
  <si>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</si>
  <si>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</si>
  <si>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</si>
  <si>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</si>
  <si>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</si>
  <si>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</si>
  <si>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</si>
  <si>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</si>
  <si>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</si>
  <si>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</si>
  <si>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</si>
  <si>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</si>
  <si>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</si>
  <si>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</si>
  <si>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</si>
  <si>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</si>
  <si>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</si>
  <si>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</si>
  <si>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</si>
  <si>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</si>
  <si>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</si>
  <si>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</si>
  <si>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</si>
  <si>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</si>
  <si>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</si>
  <si>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</si>
  <si>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</si>
  <si>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</si>
  <si>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</si>
  <si>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</si>
  <si>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</si>
  <si>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</si>
  <si>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</si>
  <si>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</si>
  <si>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</si>
  <si>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</si>
  <si>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</si>
  <si>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</si>
  <si>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</si>
  <si>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</si>
  <si>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</si>
  <si>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</si>
  <si>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</si>
  <si>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</si>
  <si>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43002</t>
  </si>
  <si>
    <t>ASSENEDE</t>
  </si>
  <si>
    <t>Paarden&amp;pony's 200 - 600 kg</t>
  </si>
  <si>
    <t>Paarden&amp;pony's &lt; 200 kg</t>
  </si>
  <si>
    <t>Fluvius</t>
  </si>
  <si>
    <t>referentietaak LNE (2017); Jaarverslag De Lijn</t>
  </si>
  <si>
    <t>LV Hamerlinck</t>
  </si>
  <si>
    <t>Stoepestraat 5a, 9960 Assenede</t>
  </si>
  <si>
    <t>WKK-0135 Hamerlinck</t>
  </si>
  <si>
    <t>interne verbrandingsmotor</t>
  </si>
  <si>
    <t>WKK interne verbrandinsgmotor (gas)</t>
  </si>
  <si>
    <t>IMEWO</t>
  </si>
  <si>
    <t>Biolectric nv</t>
  </si>
  <si>
    <t>Jan de Malschelaan 4 B, 9140 Temse</t>
  </si>
  <si>
    <t>WKK-0453 Peter De Smet</t>
  </si>
  <si>
    <t>Hendekenstraat 32 , 9961 Boekhoute</t>
  </si>
  <si>
    <t>Van Beneden - Claeys LV</t>
  </si>
  <si>
    <t>Beekstraat 104 , 9968 Bassevelde</t>
  </si>
  <si>
    <t>WKK-0505 Van Beneden-Claeys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</si>
</sst>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140263.99349304228</c:v>
                </c:pt>
                <c:pt idx="1">
                  <c:v>18836.520466368536</c:v>
                </c:pt>
                <c:pt idx="2">
                  <c:v>1044.5409999999999</c:v>
                </c:pt>
                <c:pt idx="3">
                  <c:v>33090.757452960803</c:v>
                </c:pt>
                <c:pt idx="4">
                  <c:v>9879.7225327297128</c:v>
                </c:pt>
                <c:pt idx="5">
                  <c:v>124777.40109475046</c:v>
                </c:pt>
                <c:pt idx="6">
                  <c:v>1497.7787808680214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140263.99349304228</c:v>
                </c:pt>
                <c:pt idx="1">
                  <c:v>18836.520466368536</c:v>
                </c:pt>
                <c:pt idx="2">
                  <c:v>1044.5409999999999</c:v>
                </c:pt>
                <c:pt idx="3">
                  <c:v>33090.757452960803</c:v>
                </c:pt>
                <c:pt idx="4">
                  <c:v>9879.7225327297128</c:v>
                </c:pt>
                <c:pt idx="5">
                  <c:v>124777.40109475046</c:v>
                </c:pt>
                <c:pt idx="6">
                  <c:v>1497.7787808680214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29166.834647570598</c:v>
                </c:pt>
                <c:pt idx="2">
                  <c:v>3663.9273391433753</c:v>
                </c:pt>
                <c:pt idx="3">
                  <c:v>209.48733286189227</c:v>
                </c:pt>
                <c:pt idx="4">
                  <c:v>8191.341514540738</c:v>
                </c:pt>
                <c:pt idx="5">
                  <c:v>2058.4097465976629</c:v>
                </c:pt>
                <c:pt idx="6">
                  <c:v>31268.503744331865</c:v>
                </c:pt>
                <c:pt idx="7">
                  <c:v>378.28529823461764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29166.834647570598</c:v>
                </c:pt>
                <c:pt idx="2">
                  <c:v>3663.9273391433753</c:v>
                </c:pt>
                <c:pt idx="3">
                  <c:v>209.48733286189227</c:v>
                </c:pt>
                <c:pt idx="4">
                  <c:v>8191.341514540738</c:v>
                </c:pt>
                <c:pt idx="5">
                  <c:v>2058.4097465976629</c:v>
                </c:pt>
                <c:pt idx="6">
                  <c:v>31268.503744331865</c:v>
                </c:pt>
                <c:pt idx="7">
                  <c:v>378.28529823461764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43002</v>
      </c>
      <c r="B6" s="391"/>
      <c r="C6" s="392"/>
    </row>
    <row r="7" spans="1:7" s="389" customFormat="1" ht="15.75" customHeight="1">
      <c r="A7" s="393" t="str">
        <f>txtMunicipality</f>
        <v>ASSENEDE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0.20055443765433073</v>
      </c>
      <c r="C17" s="499">
        <f ca="1">'EF ele_warmte'!B22</f>
        <v>0.23439895896360519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0.20055443765433073</v>
      </c>
      <c r="C29" s="500">
        <f ca="1">'EF ele_warmte'!B22</f>
        <v>0.23439895896360519</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5867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6778</v>
      </c>
      <c r="C14" s="330"/>
      <c r="D14" s="330"/>
      <c r="E14" s="330"/>
      <c r="F14" s="330"/>
    </row>
    <row r="15" spans="1:6">
      <c r="A15" s="1305" t="s">
        <v>183</v>
      </c>
      <c r="B15" s="1306">
        <v>83</v>
      </c>
      <c r="C15" s="330"/>
      <c r="D15" s="330"/>
      <c r="E15" s="330"/>
      <c r="F15" s="330"/>
    </row>
    <row r="16" spans="1:6">
      <c r="A16" s="1305" t="s">
        <v>6</v>
      </c>
      <c r="B16" s="1306">
        <v>3720</v>
      </c>
      <c r="C16" s="330"/>
      <c r="D16" s="330"/>
      <c r="E16" s="330"/>
      <c r="F16" s="330"/>
    </row>
    <row r="17" spans="1:6">
      <c r="A17" s="1305" t="s">
        <v>7</v>
      </c>
      <c r="B17" s="1306">
        <v>1862</v>
      </c>
      <c r="C17" s="330"/>
      <c r="D17" s="330"/>
      <c r="E17" s="330"/>
      <c r="F17" s="330"/>
    </row>
    <row r="18" spans="1:6">
      <c r="A18" s="1305" t="s">
        <v>8</v>
      </c>
      <c r="B18" s="1306">
        <v>4248</v>
      </c>
      <c r="C18" s="330"/>
      <c r="D18" s="330"/>
      <c r="E18" s="330"/>
      <c r="F18" s="330"/>
    </row>
    <row r="19" spans="1:6">
      <c r="A19" s="1305" t="s">
        <v>9</v>
      </c>
      <c r="B19" s="1306">
        <v>3830</v>
      </c>
      <c r="C19" s="330"/>
      <c r="D19" s="330"/>
      <c r="E19" s="330"/>
      <c r="F19" s="330"/>
    </row>
    <row r="20" spans="1:6">
      <c r="A20" s="1305" t="s">
        <v>10</v>
      </c>
      <c r="B20" s="1306">
        <v>2128</v>
      </c>
      <c r="C20" s="330"/>
      <c r="D20" s="330"/>
      <c r="E20" s="330"/>
      <c r="F20" s="330"/>
    </row>
    <row r="21" spans="1:6">
      <c r="A21" s="1305" t="s">
        <v>11</v>
      </c>
      <c r="B21" s="1306">
        <v>23234</v>
      </c>
      <c r="C21" s="330"/>
      <c r="D21" s="330"/>
      <c r="E21" s="330"/>
      <c r="F21" s="330"/>
    </row>
    <row r="22" spans="1:6">
      <c r="A22" s="1305" t="s">
        <v>12</v>
      </c>
      <c r="B22" s="1306">
        <v>39504</v>
      </c>
      <c r="C22" s="330"/>
      <c r="D22" s="330"/>
      <c r="E22" s="330"/>
      <c r="F22" s="330"/>
    </row>
    <row r="23" spans="1:6">
      <c r="A23" s="1305" t="s">
        <v>13</v>
      </c>
      <c r="B23" s="1306">
        <v>998</v>
      </c>
      <c r="C23" s="330"/>
      <c r="D23" s="330"/>
      <c r="E23" s="330"/>
      <c r="F23" s="330"/>
    </row>
    <row r="24" spans="1:6">
      <c r="A24" s="1305" t="s">
        <v>14</v>
      </c>
      <c r="B24" s="1306">
        <v>46</v>
      </c>
      <c r="C24" s="330"/>
      <c r="D24" s="330"/>
      <c r="E24" s="330"/>
      <c r="F24" s="330"/>
    </row>
    <row r="25" spans="1:6">
      <c r="A25" s="1305" t="s">
        <v>15</v>
      </c>
      <c r="B25" s="1306">
        <v>5439</v>
      </c>
      <c r="C25" s="330"/>
      <c r="D25" s="330"/>
      <c r="E25" s="330"/>
      <c r="F25" s="330"/>
    </row>
    <row r="26" spans="1:6">
      <c r="A26" s="1305" t="s">
        <v>16</v>
      </c>
      <c r="B26" s="1306">
        <v>153</v>
      </c>
      <c r="C26" s="330"/>
      <c r="D26" s="330"/>
      <c r="E26" s="330"/>
      <c r="F26" s="330"/>
    </row>
    <row r="27" spans="1:6">
      <c r="A27" s="1305" t="s">
        <v>17</v>
      </c>
      <c r="B27" s="1306">
        <v>1555</v>
      </c>
      <c r="C27" s="330"/>
      <c r="D27" s="330"/>
      <c r="E27" s="330"/>
      <c r="F27" s="330"/>
    </row>
    <row r="28" spans="1:6" s="43" customFormat="1">
      <c r="A28" s="1307" t="s">
        <v>18</v>
      </c>
      <c r="B28" s="1308">
        <v>320302</v>
      </c>
      <c r="C28" s="336"/>
      <c r="D28" s="336"/>
      <c r="E28" s="336"/>
      <c r="F28" s="336"/>
    </row>
    <row r="29" spans="1:6">
      <c r="A29" s="1307" t="s">
        <v>909</v>
      </c>
      <c r="B29" s="1308">
        <v>185</v>
      </c>
      <c r="C29" s="336"/>
      <c r="D29" s="336"/>
      <c r="E29" s="336"/>
      <c r="F29" s="336"/>
    </row>
    <row r="30" spans="1:6">
      <c r="A30" s="1300" t="s">
        <v>910</v>
      </c>
      <c r="B30" s="1309">
        <v>35</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276240.34449170402</v>
      </c>
      <c r="E38" s="1306">
        <v>6</v>
      </c>
      <c r="F38" s="1306">
        <v>36350.67</v>
      </c>
    </row>
    <row r="39" spans="1:6">
      <c r="A39" s="1305" t="s">
        <v>29</v>
      </c>
      <c r="B39" s="1305" t="s">
        <v>30</v>
      </c>
      <c r="C39" s="1306">
        <v>2573</v>
      </c>
      <c r="D39" s="1306">
        <v>37673043.473788902</v>
      </c>
      <c r="E39" s="1306">
        <v>5549</v>
      </c>
      <c r="F39" s="1306">
        <v>25262351</v>
      </c>
    </row>
    <row r="40" spans="1:6">
      <c r="A40" s="1305" t="s">
        <v>29</v>
      </c>
      <c r="B40" s="1305" t="s">
        <v>28</v>
      </c>
      <c r="C40" s="1306">
        <v>0</v>
      </c>
      <c r="D40" s="1306">
        <v>0</v>
      </c>
      <c r="E40" s="1306">
        <v>0</v>
      </c>
      <c r="F40" s="1306">
        <v>0</v>
      </c>
    </row>
    <row r="41" spans="1:6">
      <c r="A41" s="1305" t="s">
        <v>31</v>
      </c>
      <c r="B41" s="1305" t="s">
        <v>32</v>
      </c>
      <c r="C41" s="1306">
        <v>18</v>
      </c>
      <c r="D41" s="1306">
        <v>371103.47182122699</v>
      </c>
      <c r="E41" s="1306">
        <v>86</v>
      </c>
      <c r="F41" s="1306">
        <v>494189.2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2868413.41523162</v>
      </c>
      <c r="E44" s="1306">
        <v>15</v>
      </c>
      <c r="F44" s="1306">
        <v>2411421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39</v>
      </c>
      <c r="D48" s="1306">
        <v>751454.16471013695</v>
      </c>
      <c r="E48" s="1306">
        <v>64</v>
      </c>
      <c r="F48" s="1306">
        <v>705212.9</v>
      </c>
    </row>
    <row r="49" spans="1:6">
      <c r="A49" s="1305" t="s">
        <v>31</v>
      </c>
      <c r="B49" s="1305" t="s">
        <v>39</v>
      </c>
      <c r="C49" s="1306">
        <v>0</v>
      </c>
      <c r="D49" s="1306">
        <v>0</v>
      </c>
      <c r="E49" s="1306">
        <v>0</v>
      </c>
      <c r="F49" s="1306">
        <v>0</v>
      </c>
    </row>
    <row r="50" spans="1:6">
      <c r="A50" s="1305" t="s">
        <v>31</v>
      </c>
      <c r="B50" s="1305" t="s">
        <v>40</v>
      </c>
      <c r="C50" s="1306">
        <v>4</v>
      </c>
      <c r="D50" s="1306">
        <v>113004.044266672</v>
      </c>
      <c r="E50" s="1306">
        <v>7</v>
      </c>
      <c r="F50" s="1306">
        <v>257151.5</v>
      </c>
    </row>
    <row r="51" spans="1:6">
      <c r="A51" s="1305" t="s">
        <v>41</v>
      </c>
      <c r="B51" s="1305" t="s">
        <v>42</v>
      </c>
      <c r="C51" s="1306">
        <v>15</v>
      </c>
      <c r="D51" s="1306">
        <v>738524.31061740895</v>
      </c>
      <c r="E51" s="1306">
        <v>263</v>
      </c>
      <c r="F51" s="1306">
        <v>5446616</v>
      </c>
    </row>
    <row r="52" spans="1:6">
      <c r="A52" s="1305" t="s">
        <v>41</v>
      </c>
      <c r="B52" s="1305" t="s">
        <v>28</v>
      </c>
      <c r="C52" s="1306">
        <v>7</v>
      </c>
      <c r="D52" s="1306">
        <v>16359029.933718599</v>
      </c>
      <c r="E52" s="1306">
        <v>29</v>
      </c>
      <c r="F52" s="1306">
        <v>1031106</v>
      </c>
    </row>
    <row r="53" spans="1:6">
      <c r="A53" s="1305" t="s">
        <v>43</v>
      </c>
      <c r="B53" s="1305" t="s">
        <v>44</v>
      </c>
      <c r="C53" s="1306">
        <v>80</v>
      </c>
      <c r="D53" s="1306">
        <v>1948223.1339914401</v>
      </c>
      <c r="E53" s="1306">
        <v>179</v>
      </c>
      <c r="F53" s="1306">
        <v>852792.4</v>
      </c>
    </row>
    <row r="54" spans="1:6">
      <c r="A54" s="1305" t="s">
        <v>45</v>
      </c>
      <c r="B54" s="1305" t="s">
        <v>46</v>
      </c>
      <c r="C54" s="1306">
        <v>0</v>
      </c>
      <c r="D54" s="1306">
        <v>0</v>
      </c>
      <c r="E54" s="1306">
        <v>4</v>
      </c>
      <c r="F54" s="1306">
        <v>1044541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26</v>
      </c>
      <c r="D57" s="1306">
        <v>1016371.58624499</v>
      </c>
      <c r="E57" s="1306">
        <v>94</v>
      </c>
      <c r="F57" s="1306">
        <v>1033079</v>
      </c>
    </row>
    <row r="58" spans="1:6">
      <c r="A58" s="1305" t="s">
        <v>48</v>
      </c>
      <c r="B58" s="1305" t="s">
        <v>50</v>
      </c>
      <c r="C58" s="1306">
        <v>3</v>
      </c>
      <c r="D58" s="1306">
        <v>49807.437087503597</v>
      </c>
      <c r="E58" s="1306">
        <v>14</v>
      </c>
      <c r="F58" s="1306">
        <v>57708.18</v>
      </c>
    </row>
    <row r="59" spans="1:6">
      <c r="A59" s="1305" t="s">
        <v>48</v>
      </c>
      <c r="B59" s="1305" t="s">
        <v>51</v>
      </c>
      <c r="C59" s="1306">
        <v>16</v>
      </c>
      <c r="D59" s="1306">
        <v>540680.23846474499</v>
      </c>
      <c r="E59" s="1306">
        <v>87</v>
      </c>
      <c r="F59" s="1306">
        <v>1892808</v>
      </c>
    </row>
    <row r="60" spans="1:6">
      <c r="A60" s="1305" t="s">
        <v>48</v>
      </c>
      <c r="B60" s="1305" t="s">
        <v>52</v>
      </c>
      <c r="C60" s="1306">
        <v>28</v>
      </c>
      <c r="D60" s="1306">
        <v>1041951.78478585</v>
      </c>
      <c r="E60" s="1306">
        <v>56</v>
      </c>
      <c r="F60" s="1306">
        <v>765824.1</v>
      </c>
    </row>
    <row r="61" spans="1:6">
      <c r="A61" s="1305" t="s">
        <v>48</v>
      </c>
      <c r="B61" s="1305" t="s">
        <v>53</v>
      </c>
      <c r="C61" s="1306">
        <v>34</v>
      </c>
      <c r="D61" s="1306">
        <v>952415.69803781202</v>
      </c>
      <c r="E61" s="1306">
        <v>104</v>
      </c>
      <c r="F61" s="1306">
        <v>1120446</v>
      </c>
    </row>
    <row r="62" spans="1:6">
      <c r="A62" s="1305" t="s">
        <v>48</v>
      </c>
      <c r="B62" s="1305" t="s">
        <v>54</v>
      </c>
      <c r="C62" s="1306">
        <v>0</v>
      </c>
      <c r="D62" s="1306">
        <v>0</v>
      </c>
      <c r="E62" s="1306">
        <v>0</v>
      </c>
      <c r="F62" s="1306">
        <v>0</v>
      </c>
    </row>
    <row r="63" spans="1:6">
      <c r="A63" s="1305" t="s">
        <v>48</v>
      </c>
      <c r="B63" s="1305" t="s">
        <v>28</v>
      </c>
      <c r="C63" s="1306">
        <v>131</v>
      </c>
      <c r="D63" s="1306">
        <v>5043386.1678720498</v>
      </c>
      <c r="E63" s="1306">
        <v>194</v>
      </c>
      <c r="F63" s="1306">
        <v>3686511</v>
      </c>
    </row>
    <row r="64" spans="1:6">
      <c r="A64" s="1305" t="s">
        <v>55</v>
      </c>
      <c r="B64" s="1305" t="s">
        <v>56</v>
      </c>
      <c r="C64" s="1306">
        <v>0</v>
      </c>
      <c r="D64" s="1306">
        <v>0</v>
      </c>
      <c r="E64" s="1306">
        <v>0</v>
      </c>
      <c r="F64" s="1306">
        <v>0</v>
      </c>
    </row>
    <row r="65" spans="1:6">
      <c r="A65" s="1305" t="s">
        <v>55</v>
      </c>
      <c r="B65" s="1305" t="s">
        <v>28</v>
      </c>
      <c r="C65" s="1306">
        <v>5</v>
      </c>
      <c r="D65" s="1306">
        <v>65200.539609334999</v>
      </c>
      <c r="E65" s="1306">
        <v>5</v>
      </c>
      <c r="F65" s="1306">
        <v>47644.35</v>
      </c>
    </row>
    <row r="66" spans="1:6">
      <c r="A66" s="1305" t="s">
        <v>55</v>
      </c>
      <c r="B66" s="1305" t="s">
        <v>57</v>
      </c>
      <c r="C66" s="1306">
        <v>0</v>
      </c>
      <c r="D66" s="1306">
        <v>0</v>
      </c>
      <c r="E66" s="1306">
        <v>7</v>
      </c>
      <c r="F66" s="1306">
        <v>299537</v>
      </c>
    </row>
    <row r="67" spans="1:6">
      <c r="A67" s="1307" t="s">
        <v>55</v>
      </c>
      <c r="B67" s="1307" t="s">
        <v>58</v>
      </c>
      <c r="C67" s="1306">
        <v>0</v>
      </c>
      <c r="D67" s="1306">
        <v>0</v>
      </c>
      <c r="E67" s="1306">
        <v>0</v>
      </c>
      <c r="F67" s="1306">
        <v>0</v>
      </c>
    </row>
    <row r="68" spans="1:6">
      <c r="A68" s="1300" t="s">
        <v>55</v>
      </c>
      <c r="B68" s="1300" t="s">
        <v>59</v>
      </c>
      <c r="C68" s="1309">
        <v>0</v>
      </c>
      <c r="D68" s="1309">
        <v>0</v>
      </c>
      <c r="E68" s="1309">
        <v>16</v>
      </c>
      <c r="F68" s="1309">
        <v>135393.5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104463240</v>
      </c>
      <c r="E73" s="450"/>
      <c r="F73" s="330"/>
    </row>
    <row r="74" spans="1:6">
      <c r="A74" s="1305" t="s">
        <v>63</v>
      </c>
      <c r="B74" s="1305" t="s">
        <v>710</v>
      </c>
      <c r="C74" s="1319" t="s">
        <v>712</v>
      </c>
      <c r="D74" s="1320">
        <v>9564297.9942880888</v>
      </c>
      <c r="E74" s="450"/>
      <c r="F74" s="330"/>
    </row>
    <row r="75" spans="1:6">
      <c r="A75" s="1305" t="s">
        <v>64</v>
      </c>
      <c r="B75" s="1305" t="s">
        <v>709</v>
      </c>
      <c r="C75" s="1319" t="s">
        <v>713</v>
      </c>
      <c r="D75" s="1320">
        <v>32361451</v>
      </c>
      <c r="E75" s="450"/>
      <c r="F75" s="330"/>
    </row>
    <row r="76" spans="1:6">
      <c r="A76" s="1305" t="s">
        <v>64</v>
      </c>
      <c r="B76" s="1305" t="s">
        <v>710</v>
      </c>
      <c r="C76" s="1319" t="s">
        <v>714</v>
      </c>
      <c r="D76" s="1320">
        <v>1510185.994288089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402154.01142382214</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3282.8564148011251</v>
      </c>
      <c r="C91" s="330"/>
      <c r="D91" s="330"/>
      <c r="E91" s="330"/>
      <c r="F91" s="330"/>
    </row>
    <row r="92" spans="1:6">
      <c r="A92" s="1300" t="s">
        <v>68</v>
      </c>
      <c r="B92" s="1301">
        <v>1670.8904442289622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1118</v>
      </c>
      <c r="C97" s="330"/>
      <c r="D97" s="330"/>
      <c r="E97" s="330"/>
      <c r="F97" s="330"/>
    </row>
    <row r="98" spans="1:6">
      <c r="A98" s="1305" t="s">
        <v>71</v>
      </c>
      <c r="B98" s="1306">
        <v>0</v>
      </c>
      <c r="C98" s="330"/>
      <c r="D98" s="330"/>
      <c r="E98" s="330"/>
      <c r="F98" s="330"/>
    </row>
    <row r="99" spans="1:6">
      <c r="A99" s="1305" t="s">
        <v>72</v>
      </c>
      <c r="B99" s="1306">
        <v>182</v>
      </c>
      <c r="C99" s="330"/>
      <c r="D99" s="330"/>
      <c r="E99" s="330"/>
      <c r="F99" s="330"/>
    </row>
    <row r="100" spans="1:6">
      <c r="A100" s="1305" t="s">
        <v>73</v>
      </c>
      <c r="B100" s="1306">
        <v>600</v>
      </c>
      <c r="C100" s="330"/>
      <c r="D100" s="330"/>
      <c r="E100" s="330"/>
      <c r="F100" s="330"/>
    </row>
    <row r="101" spans="1:6">
      <c r="A101" s="1305" t="s">
        <v>74</v>
      </c>
      <c r="B101" s="1306">
        <v>133</v>
      </c>
      <c r="C101" s="330"/>
      <c r="D101" s="330"/>
      <c r="E101" s="330"/>
      <c r="F101" s="330"/>
    </row>
    <row r="102" spans="1:6">
      <c r="A102" s="1305" t="s">
        <v>75</v>
      </c>
      <c r="B102" s="1306">
        <v>98</v>
      </c>
      <c r="C102" s="330"/>
      <c r="D102" s="330"/>
      <c r="E102" s="330"/>
      <c r="F102" s="330"/>
    </row>
    <row r="103" spans="1:6">
      <c r="A103" s="1305" t="s">
        <v>76</v>
      </c>
      <c r="B103" s="1306">
        <v>340</v>
      </c>
      <c r="C103" s="330"/>
      <c r="D103" s="330"/>
      <c r="E103" s="330"/>
      <c r="F103" s="330"/>
    </row>
    <row r="104" spans="1:6">
      <c r="A104" s="1305" t="s">
        <v>77</v>
      </c>
      <c r="B104" s="1306">
        <v>2839</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16</v>
      </c>
      <c r="C123" s="1306">
        <v>15</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159</v>
      </c>
      <c r="C129" s="330"/>
      <c r="D129" s="330"/>
      <c r="E129" s="330"/>
      <c r="F129" s="330"/>
    </row>
    <row r="130" spans="1:6">
      <c r="A130" s="1305" t="s">
        <v>294</v>
      </c>
      <c r="B130" s="1306">
        <v>2</v>
      </c>
      <c r="C130" s="330"/>
      <c r="D130" s="330"/>
      <c r="E130" s="330"/>
      <c r="F130" s="330"/>
    </row>
    <row r="131" spans="1:6">
      <c r="A131" s="1305" t="s">
        <v>295</v>
      </c>
      <c r="B131" s="1306">
        <v>0</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49360.094293086477</v>
      </c>
      <c r="C3" s="43" t="s">
        <v>169</v>
      </c>
      <c r="D3" s="43"/>
      <c r="E3" s="154"/>
      <c r="F3" s="43"/>
      <c r="G3" s="43"/>
      <c r="H3" s="43"/>
      <c r="I3" s="43"/>
      <c r="J3" s="43"/>
      <c r="K3" s="96"/>
    </row>
    <row r="4" spans="1:11">
      <c r="A4" s="359" t="s">
        <v>170</v>
      </c>
      <c r="B4" s="49">
        <f>IF(ISERROR('SEAP template'!B78+'SEAP template'!C78),0,'SEAP template'!B78+'SEAP template'!C78)</f>
        <v>11341.046859030086</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1497.1764705882354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0.20055443765433073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2138.8235294117649</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9124.7142857142862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0.23439895896360519</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1044.5409999999999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1044.5409999999999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0.20055443765433073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209.48733286189227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25262.350999999999</v>
      </c>
      <c r="C5" s="17">
        <f>IF(ISERROR('Eigen informatie GS &amp; warmtenet'!B57),0,'Eigen informatie GS &amp; warmtenet'!B57)</f>
        <v>0</v>
      </c>
      <c r="D5" s="30">
        <f>(SUM(HH_hh_gas_kWh,HH_rest_gas_kWh)/1000)*0.902</f>
        <v>33981.08521335759</v>
      </c>
      <c r="E5" s="17">
        <f>B46*B57</f>
        <v>24484.243344155748</v>
      </c>
      <c r="F5" s="17">
        <f>B51*B62</f>
        <v>34242.117375430549</v>
      </c>
      <c r="G5" s="18"/>
      <c r="H5" s="17"/>
      <c r="I5" s="17"/>
      <c r="J5" s="17">
        <f>B50*B61+C50*C61</f>
        <v>5302.8780658400519</v>
      </c>
      <c r="K5" s="17"/>
      <c r="L5" s="17"/>
      <c r="M5" s="17"/>
      <c r="N5" s="17">
        <f>B48*B59+C48*C59</f>
        <v>12902.575412790555</v>
      </c>
      <c r="O5" s="17">
        <f>B69*B70*B71</f>
        <v>272.02000000000004</v>
      </c>
      <c r="P5" s="17">
        <f>B77*B78*B79/1000-B77*B78*B79/1000/B80</f>
        <v>533.86666666666667</v>
      </c>
    </row>
    <row r="6" spans="1:16">
      <c r="A6" s="16" t="s">
        <v>630</v>
      </c>
      <c r="B6" s="763">
        <f>kWh_PV_kleiner_dan_10kW</f>
        <v>3282.8564148011251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28545.207414801123</v>
      </c>
      <c r="C8" s="21">
        <f>C5</f>
        <v>0</v>
      </c>
      <c r="D8" s="21">
        <f>D5</f>
        <v>33981.08521335759</v>
      </c>
      <c r="E8" s="21">
        <f>E5</f>
        <v>24484.243344155748</v>
      </c>
      <c r="F8" s="21">
        <f>F5</f>
        <v>34242.117375430549</v>
      </c>
      <c r="G8" s="21"/>
      <c r="H8" s="21"/>
      <c r="I8" s="21"/>
      <c r="J8" s="21">
        <f>J5</f>
        <v>5302.8780658400519</v>
      </c>
      <c r="K8" s="21"/>
      <c r="L8" s="21">
        <f>L5</f>
        <v>0</v>
      </c>
      <c r="M8" s="21">
        <f>M5</f>
        <v>0</v>
      </c>
      <c r="N8" s="21">
        <f>N5</f>
        <v>12902.575412790555</v>
      </c>
      <c r="O8" s="21">
        <f>O5</f>
        <v>272.02000000000004</v>
      </c>
      <c r="P8" s="21">
        <f>P5</f>
        <v>533.86666666666667</v>
      </c>
    </row>
    <row r="9" spans="1:16">
      <c r="B9" s="19"/>
      <c r="C9" s="19"/>
      <c r="D9" s="258"/>
      <c r="E9" s="19"/>
      <c r="F9" s="19"/>
      <c r="G9" s="19"/>
      <c r="H9" s="19"/>
      <c r="I9" s="19"/>
      <c r="J9" s="19"/>
      <c r="K9" s="19"/>
      <c r="L9" s="19"/>
      <c r="M9" s="19"/>
      <c r="N9" s="19"/>
      <c r="O9" s="19"/>
      <c r="P9" s="19"/>
    </row>
    <row r="10" spans="1:16">
      <c r="A10" s="24" t="s">
        <v>213</v>
      </c>
      <c r="B10" s="25">
        <f ca="1">'EF ele_warmte'!B12</f>
        <v>0.20055443765433073</v>
      </c>
      <c r="C10" s="25">
        <f ca="1">'EF ele_warmte'!B22</f>
        <v>0.23439895896360519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5724.8680208016713</v>
      </c>
      <c r="C12" s="23">
        <f ca="1">C10*C8</f>
        <v>0</v>
      </c>
      <c r="D12" s="23">
        <f>D8*D10</f>
        <v>6864.179213098234</v>
      </c>
      <c r="E12" s="23">
        <f>E10*E8</f>
        <v>5557.9232391233545</v>
      </c>
      <c r="F12" s="23">
        <f>F10*F8</f>
        <v>9142.6453392399562</v>
      </c>
      <c r="G12" s="23"/>
      <c r="H12" s="23"/>
      <c r="I12" s="23"/>
      <c r="J12" s="23">
        <f>J10*J8</f>
        <v>1877.2188353073782</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1118</v>
      </c>
      <c r="C18" s="166" t="s">
        <v>110</v>
      </c>
      <c r="D18" s="228"/>
      <c r="E18" s="15"/>
    </row>
    <row r="19" spans="1:7">
      <c r="A19" s="171" t="s">
        <v>71</v>
      </c>
      <c r="B19" s="37">
        <f>aantalw2001_ander</f>
        <v>0</v>
      </c>
      <c r="C19" s="166" t="s">
        <v>110</v>
      </c>
      <c r="D19" s="229"/>
      <c r="E19" s="15"/>
    </row>
    <row r="20" spans="1:7">
      <c r="A20" s="171" t="s">
        <v>72</v>
      </c>
      <c r="B20" s="37">
        <f>aantalw2001_propaan</f>
        <v>182</v>
      </c>
      <c r="C20" s="167">
        <f>IF(ISERROR(B20/SUM($B$20,$B$21,$B$22)*100),0,B20/SUM($B$20,$B$21,$B$22)*100)</f>
        <v>19.89071038251366</v>
      </c>
      <c r="D20" s="229"/>
      <c r="E20" s="15"/>
    </row>
    <row r="21" spans="1:7">
      <c r="A21" s="171" t="s">
        <v>73</v>
      </c>
      <c r="B21" s="37">
        <f>aantalw2001_elektriciteit</f>
        <v>600</v>
      </c>
      <c r="C21" s="167">
        <f>IF(ISERROR(B21/SUM($B$20,$B$21,$B$22)*100),0,B21/SUM($B$20,$B$21,$B$22)*100)</f>
        <v>65.573770491803273</v>
      </c>
      <c r="D21" s="229"/>
      <c r="E21" s="15"/>
    </row>
    <row r="22" spans="1:7">
      <c r="A22" s="171" t="s">
        <v>74</v>
      </c>
      <c r="B22" s="37">
        <f>aantalw2001_hout</f>
        <v>133</v>
      </c>
      <c r="C22" s="167">
        <f>IF(ISERROR(B22/SUM($B$20,$B$21,$B$22)*100),0,B22/SUM($B$20,$B$21,$B$22)*100)</f>
        <v>14.535519125683061</v>
      </c>
      <c r="D22" s="229"/>
      <c r="E22" s="15"/>
    </row>
    <row r="23" spans="1:7">
      <c r="A23" s="171" t="s">
        <v>75</v>
      </c>
      <c r="B23" s="37">
        <f>aantalw2001_niet_gespec</f>
        <v>98</v>
      </c>
      <c r="C23" s="166" t="s">
        <v>110</v>
      </c>
      <c r="D23" s="228"/>
      <c r="E23" s="15"/>
    </row>
    <row r="24" spans="1:7">
      <c r="A24" s="171" t="s">
        <v>76</v>
      </c>
      <c r="B24" s="37">
        <f>aantalw2001_steenkool</f>
        <v>340</v>
      </c>
      <c r="C24" s="166" t="s">
        <v>110</v>
      </c>
      <c r="D24" s="229"/>
      <c r="E24" s="15"/>
    </row>
    <row r="25" spans="1:7">
      <c r="A25" s="171" t="s">
        <v>77</v>
      </c>
      <c r="B25" s="37">
        <f>aantalw2001_stookolie</f>
        <v>2839</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5867</v>
      </c>
      <c r="C28" s="36"/>
      <c r="D28" s="228"/>
    </row>
    <row r="29" spans="1:7" s="15" customFormat="1">
      <c r="A29" s="230" t="s">
        <v>737</v>
      </c>
      <c r="B29" s="37">
        <f>SUM(HH_hh_gas_aantal,HH_rest_gas_aantal)</f>
        <v>2573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2573</v>
      </c>
      <c r="C32" s="167">
        <f>IF(ISERROR(B32/SUM($B$32,$B$34,$B$35,$B$36,$B$38,$B$39)*100),0,B32/SUM($B$32,$B$34,$B$35,$B$36,$B$38,$B$39)*100)</f>
        <v>44.065764685733861</v>
      </c>
      <c r="D32" s="233"/>
      <c r="G32" s="15"/>
    </row>
    <row r="33" spans="1:7">
      <c r="A33" s="171" t="s">
        <v>71</v>
      </c>
      <c r="B33" s="34" t="s">
        <v>110</v>
      </c>
      <c r="C33" s="167"/>
      <c r="D33" s="233"/>
      <c r="G33" s="15"/>
    </row>
    <row r="34" spans="1:7">
      <c r="A34" s="171" t="s">
        <v>72</v>
      </c>
      <c r="B34" s="33">
        <f>IF((($B$28-$B$32-$B$39-$B$77-$B$38)*C20/100)&lt;0,0,($B$28-$B$32-$B$39-$B$77-$B$38)*C20/100)</f>
        <v>306.71475409836063</v>
      </c>
      <c r="C34" s="167">
        <f>IF(ISERROR(B34/SUM($B$32,$B$34,$B$35,$B$36,$B$38,$B$39)*100),0,B34/SUM($B$32,$B$34,$B$35,$B$36,$B$38,$B$39)*100)</f>
        <v>5.2528644305251007</v>
      </c>
      <c r="D34" s="233"/>
      <c r="G34" s="15"/>
    </row>
    <row r="35" spans="1:7">
      <c r="A35" s="171" t="s">
        <v>73</v>
      </c>
      <c r="B35" s="33">
        <f>IF((($B$28-$B$32-$B$39-$B$77-$B$38)*C21/100)&lt;0,0,($B$28-$B$32-$B$39-$B$77-$B$38)*C21/100)</f>
        <v>1011.1475409836064</v>
      </c>
      <c r="C35" s="167">
        <f>IF(ISERROR(B35/SUM($B$32,$B$34,$B$35,$B$36,$B$38,$B$39)*100),0,B35/SUM($B$32,$B$34,$B$35,$B$36,$B$38,$B$39)*100)</f>
        <v>17.317135485247583</v>
      </c>
      <c r="D35" s="233"/>
      <c r="G35" s="15"/>
    </row>
    <row r="36" spans="1:7">
      <c r="A36" s="171" t="s">
        <v>74</v>
      </c>
      <c r="B36" s="33">
        <f>IF((($B$28-$B$32-$B$39-$B$77-$B$38)*C22/100)&lt;0,0,($B$28-$B$32-$B$39-$B$77-$B$38)*C22/100)</f>
        <v>224.1377049180328</v>
      </c>
      <c r="C36" s="167">
        <f>IF(ISERROR(B36/SUM($B$32,$B$34,$B$35,$B$36,$B$38,$B$39)*100),0,B36/SUM($B$32,$B$34,$B$35,$B$36,$B$38,$B$39)*100)</f>
        <v>3.8386316992298815</v>
      </c>
      <c r="D36" s="233"/>
      <c r="G36" s="15"/>
    </row>
    <row r="37" spans="1:7">
      <c r="A37" s="171" t="s">
        <v>75</v>
      </c>
      <c r="B37" s="34" t="s">
        <v>110</v>
      </c>
      <c r="C37" s="167"/>
      <c r="D37" s="173"/>
      <c r="G37" s="15"/>
    </row>
    <row r="38" spans="1:7">
      <c r="A38" s="171" t="s">
        <v>76</v>
      </c>
      <c r="B38" s="33">
        <f>IF((B24-(B29-B18)*0.1)&lt;0,0,B24-(B29-B18)*0.1)</f>
        <v>194.5</v>
      </c>
      <c r="C38" s="167">
        <f>IF(ISERROR(B38/SUM($B$32,$B$34,$B$35,$B$36,$B$38,$B$39)*100),0,B38/SUM($B$32,$B$34,$B$35,$B$36,$B$38,$B$39)*100)</f>
        <v>3.3310498373009074</v>
      </c>
      <c r="D38" s="234"/>
      <c r="G38" s="15"/>
    </row>
    <row r="39" spans="1:7">
      <c r="A39" s="171" t="s">
        <v>77</v>
      </c>
      <c r="B39" s="33">
        <f>IF((B25-(B29-B18))&lt;0,0,B25-(B29-B18)*0.9)</f>
        <v>1529.5</v>
      </c>
      <c r="C39" s="167">
        <f>IF(ISERROR(B39/SUM($B$32,$B$34,$B$35,$B$36,$B$38,$B$39)*100),0,B39/SUM($B$32,$B$34,$B$35,$B$36,$B$38,$B$39)*100)</f>
        <v>26.194553861962667</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2573</v>
      </c>
      <c r="C44" s="34" t="s">
        <v>110</v>
      </c>
      <c r="D44" s="174"/>
    </row>
    <row r="45" spans="1:7">
      <c r="A45" s="171" t="s">
        <v>71</v>
      </c>
      <c r="B45" s="33" t="str">
        <f t="shared" si="0"/>
        <v>-</v>
      </c>
      <c r="C45" s="34" t="s">
        <v>110</v>
      </c>
      <c r="D45" s="174"/>
    </row>
    <row r="46" spans="1:7">
      <c r="A46" s="171" t="s">
        <v>72</v>
      </c>
      <c r="B46" s="33">
        <f t="shared" si="0"/>
        <v>306.71475409836063</v>
      </c>
      <c r="C46" s="34" t="s">
        <v>110</v>
      </c>
      <c r="D46" s="174"/>
    </row>
    <row r="47" spans="1:7">
      <c r="A47" s="171" t="s">
        <v>73</v>
      </c>
      <c r="B47" s="33">
        <f t="shared" si="0"/>
        <v>1011.1475409836064</v>
      </c>
      <c r="C47" s="34" t="s">
        <v>110</v>
      </c>
      <c r="D47" s="174"/>
    </row>
    <row r="48" spans="1:7">
      <c r="A48" s="171" t="s">
        <v>74</v>
      </c>
      <c r="B48" s="33">
        <f t="shared" si="0"/>
        <v>224.1377049180328</v>
      </c>
      <c r="C48" s="33">
        <f>B48*10</f>
        <v>2241.377049180328</v>
      </c>
      <c r="D48" s="234"/>
    </row>
    <row r="49" spans="1:6">
      <c r="A49" s="171" t="s">
        <v>75</v>
      </c>
      <c r="B49" s="33" t="str">
        <f t="shared" si="0"/>
        <v>-</v>
      </c>
      <c r="C49" s="34" t="s">
        <v>110</v>
      </c>
      <c r="D49" s="234"/>
    </row>
    <row r="50" spans="1:6">
      <c r="A50" s="171" t="s">
        <v>76</v>
      </c>
      <c r="B50" s="33">
        <f t="shared" si="0"/>
        <v>194.5</v>
      </c>
      <c r="C50" s="33">
        <f>B50*2</f>
        <v>389</v>
      </c>
      <c r="D50" s="234"/>
    </row>
    <row r="51" spans="1:6">
      <c r="A51" s="171" t="s">
        <v>77</v>
      </c>
      <c r="B51" s="33">
        <f t="shared" si="0"/>
        <v>1529.5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174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8556.3762800000004</v>
      </c>
      <c r="C5" s="17">
        <f>IF(ISERROR('Eigen informatie GS &amp; warmtenet'!B58),0,'Eigen informatie GS &amp; warmtenet'!B58)</f>
        <v>0</v>
      </c>
      <c r="D5" s="30">
        <f>SUM(D6:D12)</f>
        <v>7797.4408470686412</v>
      </c>
      <c r="E5" s="17">
        <f>SUM(E6:E12)</f>
        <v>92.640241388419213</v>
      </c>
      <c r="F5" s="17">
        <f>SUM(F6:F12)</f>
        <v>1317.5869664647344</v>
      </c>
      <c r="G5" s="18"/>
      <c r="H5" s="17"/>
      <c r="I5" s="17"/>
      <c r="J5" s="17">
        <f>SUM(J6:J12)</f>
        <v>0</v>
      </c>
      <c r="K5" s="17"/>
      <c r="L5" s="17"/>
      <c r="M5" s="17"/>
      <c r="N5" s="17">
        <f>SUM(N6:N12)</f>
        <v>1069.3494647800726</v>
      </c>
      <c r="O5" s="17">
        <f>B38*B39*B40</f>
        <v>3.1266666666666669</v>
      </c>
      <c r="P5" s="17">
        <f>B46*B47*B48/1000-B46*B47*B48/1000/B49</f>
        <v>0</v>
      </c>
      <c r="R5" s="32"/>
    </row>
    <row r="6" spans="1:18">
      <c r="A6" s="32" t="s">
        <v>53</v>
      </c>
      <c r="B6" s="37">
        <f>B26</f>
        <v>1120.4459999999999</v>
      </c>
      <c r="C6" s="33"/>
      <c r="D6" s="37">
        <f>IF(ISERROR(TER_kantoor_gas_kWh/1000),0,TER_kantoor_gas_kWh/1000)*0.902</f>
        <v>859.07895963010651</v>
      </c>
      <c r="E6" s="33">
        <f>$C$26*'E Balans VL '!I12/100/3.6*1000000</f>
        <v>3.2460964547378737</v>
      </c>
      <c r="F6" s="33">
        <f>$C$26*('E Balans VL '!L12+'E Balans VL '!N12)/100/3.6*1000000</f>
        <v>126.80980186070776</v>
      </c>
      <c r="G6" s="34"/>
      <c r="H6" s="33"/>
      <c r="I6" s="33"/>
      <c r="J6" s="33">
        <f>$C$26*('E Balans VL '!D12+'E Balans VL '!E12)/100/3.6*1000000</f>
        <v>0</v>
      </c>
      <c r="K6" s="33"/>
      <c r="L6" s="33"/>
      <c r="M6" s="33"/>
      <c r="N6" s="33">
        <f>$C$26*'E Balans VL '!Y12/100/3.6*1000000</f>
        <v>11.214838878526008</v>
      </c>
      <c r="O6" s="33"/>
      <c r="P6" s="33"/>
      <c r="R6" s="32"/>
    </row>
    <row r="7" spans="1:18">
      <c r="A7" s="32" t="s">
        <v>52</v>
      </c>
      <c r="B7" s="37">
        <f t="shared" ref="B7:B12" si="0">B27</f>
        <v>765.82409999999993</v>
      </c>
      <c r="C7" s="33"/>
      <c r="D7" s="37">
        <f>IF(ISERROR(TER_horeca_gas_kWh/1000),0,TER_horeca_gas_kWh/1000)*0.902</f>
        <v>939.84050987683668</v>
      </c>
      <c r="E7" s="33">
        <f>$C$27*'E Balans VL '!I9/100/3.6*1000000</f>
        <v>32.147156047752681</v>
      </c>
      <c r="F7" s="33">
        <f>$C$27*('E Balans VL '!L9+'E Balans VL '!N9)/100/3.6*1000000</f>
        <v>164.55301258728565</v>
      </c>
      <c r="G7" s="34"/>
      <c r="H7" s="33"/>
      <c r="I7" s="33"/>
      <c r="J7" s="33">
        <f>$C$27*('E Balans VL '!D9+'E Balans VL '!E9)/100/3.6*1000000</f>
        <v>0</v>
      </c>
      <c r="K7" s="33"/>
      <c r="L7" s="33"/>
      <c r="M7" s="33"/>
      <c r="N7" s="33">
        <f>$C$27*'E Balans VL '!Y9/100/3.6*1000000</f>
        <v>0.19734617319528275</v>
      </c>
      <c r="O7" s="33"/>
      <c r="P7" s="33"/>
      <c r="R7" s="32"/>
    </row>
    <row r="8" spans="1:18">
      <c r="A8" s="6" t="s">
        <v>51</v>
      </c>
      <c r="B8" s="37">
        <f t="shared" si="0"/>
        <v>1892.808</v>
      </c>
      <c r="C8" s="33"/>
      <c r="D8" s="37">
        <f>IF(ISERROR(TER_handel_gas_kWh/1000),0,TER_handel_gas_kWh/1000)*0.902</f>
        <v>487.6935750952</v>
      </c>
      <c r="E8" s="33">
        <f>$C$28*'E Balans VL '!I13/100/3.6*1000000</f>
        <v>20.330333259316873</v>
      </c>
      <c r="F8" s="33">
        <f>$C$28*('E Balans VL '!L13+'E Balans VL '!N13)/100/3.6*1000000</f>
        <v>245.03962608624477</v>
      </c>
      <c r="G8" s="34"/>
      <c r="H8" s="33"/>
      <c r="I8" s="33"/>
      <c r="J8" s="33">
        <f>$C$28*('E Balans VL '!D13+'E Balans VL '!E13)/100/3.6*1000000</f>
        <v>0</v>
      </c>
      <c r="K8" s="33"/>
      <c r="L8" s="33"/>
      <c r="M8" s="33"/>
      <c r="N8" s="33">
        <f>$C$28*'E Balans VL '!Y13/100/3.6*1000000</f>
        <v>15.354561847810491</v>
      </c>
      <c r="O8" s="33"/>
      <c r="P8" s="33"/>
      <c r="R8" s="32"/>
    </row>
    <row r="9" spans="1:18">
      <c r="A9" s="32" t="s">
        <v>50</v>
      </c>
      <c r="B9" s="37">
        <f t="shared" si="0"/>
        <v>57.708179999999999</v>
      </c>
      <c r="C9" s="33"/>
      <c r="D9" s="37">
        <f>IF(ISERROR(TER_gezond_gas_kWh/1000),0,TER_gezond_gas_kWh/1000)*0.902</f>
        <v>44.926308252928244</v>
      </c>
      <c r="E9" s="33">
        <f>$C$29*'E Balans VL '!I10/100/3.6*1000000</f>
        <v>4.5939443745086697E-2</v>
      </c>
      <c r="F9" s="33">
        <f>$C$29*('E Balans VL '!L10+'E Balans VL '!N10)/100/3.6*1000000</f>
        <v>7.0152632373159616</v>
      </c>
      <c r="G9" s="34"/>
      <c r="H9" s="33"/>
      <c r="I9" s="33"/>
      <c r="J9" s="33">
        <f>$C$29*('E Balans VL '!D10+'E Balans VL '!E10)/100/3.6*1000000</f>
        <v>0</v>
      </c>
      <c r="K9" s="33"/>
      <c r="L9" s="33"/>
      <c r="M9" s="33"/>
      <c r="N9" s="33">
        <f>$C$29*'E Balans VL '!Y10/100/3.6*1000000</f>
        <v>0.46615138926223826</v>
      </c>
      <c r="O9" s="33"/>
      <c r="P9" s="33"/>
      <c r="R9" s="32"/>
    </row>
    <row r="10" spans="1:18">
      <c r="A10" s="32" t="s">
        <v>49</v>
      </c>
      <c r="B10" s="37">
        <f t="shared" si="0"/>
        <v>1033.079</v>
      </c>
      <c r="C10" s="33"/>
      <c r="D10" s="37">
        <f>IF(ISERROR(TER_ander_gas_kWh/1000),0,TER_ander_gas_kWh/1000)*0.902</f>
        <v>916.76717079298101</v>
      </c>
      <c r="E10" s="33">
        <f>$C$30*'E Balans VL '!I14/100/3.6*1000000</f>
        <v>3.5404160040138777</v>
      </c>
      <c r="F10" s="33">
        <f>$C$30*('E Balans VL '!L14+'E Balans VL '!N14)/100/3.6*1000000</f>
        <v>230.74786921446477</v>
      </c>
      <c r="G10" s="34"/>
      <c r="H10" s="33"/>
      <c r="I10" s="33"/>
      <c r="J10" s="33">
        <f>$C$30*('E Balans VL '!D14+'E Balans VL '!E14)/100/3.6*1000000</f>
        <v>0</v>
      </c>
      <c r="K10" s="33"/>
      <c r="L10" s="33"/>
      <c r="M10" s="33"/>
      <c r="N10" s="33">
        <f>$C$30*'E Balans VL '!Y14/100/3.6*1000000</f>
        <v>727.70649120025973</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3686.511</v>
      </c>
      <c r="C12" s="33"/>
      <c r="D12" s="37">
        <f>IF(ISERROR(TER_rest_gas_kWh/1000),0,TER_rest_gas_kWh/1000)*0.902</f>
        <v>4549.1343234205888</v>
      </c>
      <c r="E12" s="33">
        <f>$C$32*'E Balans VL '!I8/100/3.6*1000000</f>
        <v>33.330300178852831</v>
      </c>
      <c r="F12" s="33">
        <f>$C$32*('E Balans VL '!L8+'E Balans VL '!N8)/100/3.6*1000000</f>
        <v>543.42139347871546</v>
      </c>
      <c r="G12" s="34"/>
      <c r="H12" s="33"/>
      <c r="I12" s="33"/>
      <c r="J12" s="33">
        <f>$C$32*('E Balans VL '!D8+'E Balans VL '!E8)/100/3.6*1000000</f>
        <v>0</v>
      </c>
      <c r="K12" s="33"/>
      <c r="L12" s="33"/>
      <c r="M12" s="33"/>
      <c r="N12" s="33">
        <f>$C$32*'E Balans VL '!Y8/100/3.6*1000000</f>
        <v>314.41007529101881</v>
      </c>
      <c r="O12" s="33"/>
      <c r="P12" s="33"/>
      <c r="R12" s="32"/>
    </row>
    <row r="13" spans="1:18">
      <c r="A13" s="16" t="s">
        <v>493</v>
      </c>
      <c r="B13" s="247">
        <f ca="1">'lokale energieproductie'!N40+'lokale energieproductie'!N33</f>
        <v>0</v>
      </c>
      <c r="C13" s="247">
        <f ca="1">'lokale energieproductie'!O40+'lokale energieproductie'!O33</f>
        <v>0</v>
      </c>
      <c r="D13" s="308">
        <f ca="1">('lokale energieproductie'!P33+'lokale energieproductie'!P40)*(-1)</f>
        <v>0</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8556.3762800000004</v>
      </c>
      <c r="C16" s="21">
        <f t="shared" ca="1" si="1"/>
        <v>0</v>
      </c>
      <c r="D16" s="21">
        <f t="shared" ca="1" si="1"/>
        <v>7797.4408470686412</v>
      </c>
      <c r="E16" s="21">
        <f t="shared" si="1"/>
        <v>92.640241388419213</v>
      </c>
      <c r="F16" s="21">
        <f t="shared" ca="1" si="1"/>
        <v>1317.5869664647344</v>
      </c>
      <c r="G16" s="21">
        <f t="shared" si="1"/>
        <v>0</v>
      </c>
      <c r="H16" s="21">
        <f t="shared" si="1"/>
        <v>0</v>
      </c>
      <c r="I16" s="21">
        <f t="shared" si="1"/>
        <v>0</v>
      </c>
      <c r="J16" s="21">
        <f t="shared" si="1"/>
        <v>0</v>
      </c>
      <c r="K16" s="21">
        <f t="shared" si="1"/>
        <v>0</v>
      </c>
      <c r="L16" s="21">
        <f t="shared" ca="1" si="1"/>
        <v>0</v>
      </c>
      <c r="M16" s="21">
        <f t="shared" si="1"/>
        <v>0</v>
      </c>
      <c r="N16" s="21">
        <f t="shared" ca="1" si="1"/>
        <v>1069.3494647800726</v>
      </c>
      <c r="O16" s="21">
        <f>O5</f>
        <v>3.1266666666666669</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0.20055443765433073</v>
      </c>
      <c r="C18" s="25">
        <f ca="1">'EF ele_warmte'!B22</f>
        <v>0.23439895896360519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1716.0192331942544</v>
      </c>
      <c r="C20" s="23">
        <f t="shared" ref="C20:P20" ca="1" si="2">C16*C18</f>
        <v>0</v>
      </c>
      <c r="D20" s="23">
        <f t="shared" ca="1" si="2"/>
        <v>1575.0830511078657</v>
      </c>
      <c r="E20" s="23">
        <f t="shared" si="2"/>
        <v>21.029334795171163</v>
      </c>
      <c r="F20" s="23">
        <f t="shared" ca="1" si="2"/>
        <v>351.79572004608411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1120.4459999999999</v>
      </c>
      <c r="C26" s="39">
        <f>IF(ISERROR(B26*3.6/1000000/'E Balans VL '!Z12*100),0,B26*3.6/1000000/'E Balans VL '!Z12*100)</f>
        <v>2.461189175529031E-2</v>
      </c>
      <c r="D26" s="237" t="s">
        <v>691</v>
      </c>
      <c r="F26" s="6"/>
    </row>
    <row r="27" spans="1:18">
      <c r="A27" s="231" t="s">
        <v>52</v>
      </c>
      <c r="B27" s="33">
        <f>IF(ISERROR(TER_horeca_ele_kWh/1000),0,TER_horeca_ele_kWh/1000)</f>
        <v>765.82409999999993</v>
      </c>
      <c r="C27" s="39">
        <f>IF(ISERROR(B27*3.6/1000000/'E Balans VL '!Z9*100),0,B27*3.6/1000000/'E Balans VL '!Z9*100)</f>
        <v>6.1541600259792509E-2</v>
      </c>
      <c r="D27" s="237" t="s">
        <v>691</v>
      </c>
      <c r="F27" s="6"/>
    </row>
    <row r="28" spans="1:18">
      <c r="A28" s="171" t="s">
        <v>51</v>
      </c>
      <c r="B28" s="33">
        <f>IF(ISERROR(TER_handel_ele_kWh/1000),0,TER_handel_ele_kWh/1000)</f>
        <v>1892.808</v>
      </c>
      <c r="C28" s="39">
        <f>IF(ISERROR(B28*3.6/1000000/'E Balans VL '!Z13*100),0,B28*3.6/1000000/'E Balans VL '!Z13*100)</f>
        <v>5.5969010216566521E-2</v>
      </c>
      <c r="D28" s="237" t="s">
        <v>691</v>
      </c>
      <c r="F28" s="6"/>
    </row>
    <row r="29" spans="1:18">
      <c r="A29" s="231" t="s">
        <v>50</v>
      </c>
      <c r="B29" s="33">
        <f>IF(ISERROR(TER_gezond_ele_kWh/1000),0,TER_gezond_ele_kWh/1000)</f>
        <v>57.708179999999999</v>
      </c>
      <c r="C29" s="39">
        <f>IF(ISERROR(B29*3.6/1000000/'E Balans VL '!Z10*100),0,B29*3.6/1000000/'E Balans VL '!Z10*100)</f>
        <v>6.5022219921268762E-3</v>
      </c>
      <c r="D29" s="237" t="s">
        <v>691</v>
      </c>
      <c r="F29" s="6"/>
    </row>
    <row r="30" spans="1:18">
      <c r="A30" s="231" t="s">
        <v>49</v>
      </c>
      <c r="B30" s="33">
        <f>IF(ISERROR(TER_ander_ele_kWh/1000),0,TER_ander_ele_kWh/1000)</f>
        <v>1033.079</v>
      </c>
      <c r="C30" s="39">
        <f>IF(ISERROR(B30*3.6/1000000/'E Balans VL '!Z14*100),0,B30*3.6/1000000/'E Balans VL '!Z14*100)</f>
        <v>7.8129998801218417E-2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3686.511</v>
      </c>
      <c r="C32" s="39">
        <f>IF(ISERROR(B32*3.6/1000000/'E Balans VL '!Z8*100),0,B32*3.6/1000000/'E Balans VL '!Z8*100)</f>
        <v>3.1056686474020986E-2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3867.9746</v>
      </c>
      <c r="C5" s="17">
        <f>IF(ISERROR('Eigen informatie GS &amp; warmtenet'!B59),0,'Eigen informatie GS &amp; warmtenet'!B59)</f>
        <v>0</v>
      </c>
      <c r="D5" s="30">
        <f>SUM(D6:D15)</f>
        <v>3701.78553661875</v>
      </c>
      <c r="E5" s="17">
        <f>SUM(E6:E15)</f>
        <v>234.72908019766723</v>
      </c>
      <c r="F5" s="17">
        <f>SUM(F6:F15)</f>
        <v>1791.7605492844559</v>
      </c>
      <c r="G5" s="18"/>
      <c r="H5" s="17"/>
      <c r="I5" s="17"/>
      <c r="J5" s="17">
        <f>SUM(J6:J15)</f>
        <v>9.1130778887570933</v>
      </c>
      <c r="K5" s="17"/>
      <c r="L5" s="17"/>
      <c r="M5" s="17"/>
      <c r="N5" s="17">
        <f>SUM(N6:N15)</f>
        <v>274.35968874008358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2411.4209999999998</v>
      </c>
      <c r="C8" s="33"/>
      <c r="D8" s="37">
        <f>IF( ISERROR(IND_metaal_Gas_kWH/1000),0,IND_metaal_Gas_kWH/1000)*0.902</f>
        <v>2587.3089005389215</v>
      </c>
      <c r="E8" s="33">
        <f>C30*'E Balans VL '!I18/100/3.6*1000000</f>
        <v>60.349427837310756</v>
      </c>
      <c r="F8" s="33">
        <f>C30*'E Balans VL '!L18/100/3.6*1000000+C30*'E Balans VL '!N18/100/3.6*1000000</f>
        <v>755.75133642493358</v>
      </c>
      <c r="G8" s="34"/>
      <c r="H8" s="33"/>
      <c r="I8" s="33"/>
      <c r="J8" s="40">
        <f>C30*'E Balans VL '!D18/100/3.6*1000000+C30*'E Balans VL '!E18/100/3.6*1000000</f>
        <v>0</v>
      </c>
      <c r="K8" s="33"/>
      <c r="L8" s="33"/>
      <c r="M8" s="33"/>
      <c r="N8" s="33">
        <f>C30*'E Balans VL '!Y18/100/3.6*1000000</f>
        <v>60.581153703212784</v>
      </c>
      <c r="O8" s="33"/>
      <c r="P8" s="33"/>
      <c r="R8" s="32"/>
    </row>
    <row r="9" spans="1:18">
      <c r="A9" s="6" t="s">
        <v>32</v>
      </c>
      <c r="B9" s="37">
        <f t="shared" si="0"/>
        <v>494.18920000000003</v>
      </c>
      <c r="C9" s="33"/>
      <c r="D9" s="37">
        <f>IF( ISERROR(IND_andere_gas_kWh/1000),0,IND_andere_gas_kWh/1000)*0.902</f>
        <v>334.73533158274677</v>
      </c>
      <c r="E9" s="33">
        <f>C31*'E Balans VL '!I19/100/3.6*1000000</f>
        <v>135.88176080248795</v>
      </c>
      <c r="F9" s="33">
        <f>C31*'E Balans VL '!L19/100/3.6*1000000+C31*'E Balans VL '!N19/100/3.6*1000000</f>
        <v>389.50708469507225</v>
      </c>
      <c r="G9" s="34"/>
      <c r="H9" s="33"/>
      <c r="I9" s="33"/>
      <c r="J9" s="40">
        <f>C31*'E Balans VL '!D19/100/3.6*1000000+C31*'E Balans VL '!E19/100/3.6*1000000</f>
        <v>0</v>
      </c>
      <c r="K9" s="33"/>
      <c r="L9" s="33"/>
      <c r="M9" s="33"/>
      <c r="N9" s="33">
        <f>C31*'E Balans VL '!Y19/100/3.6*1000000</f>
        <v>39.812193368029128</v>
      </c>
      <c r="O9" s="33"/>
      <c r="P9" s="33"/>
      <c r="R9" s="32"/>
    </row>
    <row r="10" spans="1:18">
      <c r="A10" s="6" t="s">
        <v>40</v>
      </c>
      <c r="B10" s="37">
        <f t="shared" si="0"/>
        <v>257.1515</v>
      </c>
      <c r="C10" s="33"/>
      <c r="D10" s="37">
        <f>IF( ISERROR(IND_voed_gas_kWh/1000),0,IND_voed_gas_kWh/1000)*0.902</f>
        <v>101.92964792853816</v>
      </c>
      <c r="E10" s="33">
        <f>C32*'E Balans VL '!I20/100/3.6*1000000</f>
        <v>2.6215178769303029</v>
      </c>
      <c r="F10" s="33">
        <f>C32*'E Balans VL '!L20/100/3.6*1000000+C32*'E Balans VL '!N20/100/3.6*1000000</f>
        <v>485.75757517262076</v>
      </c>
      <c r="G10" s="34"/>
      <c r="H10" s="33"/>
      <c r="I10" s="33"/>
      <c r="J10" s="40">
        <f>C32*'E Balans VL '!D20/100/3.6*1000000+C32*'E Balans VL '!E20/100/3.6*1000000</f>
        <v>6.1544767985173667</v>
      </c>
      <c r="K10" s="33"/>
      <c r="L10" s="33"/>
      <c r="M10" s="33"/>
      <c r="N10" s="33">
        <f>C32*'E Balans VL '!Y20/100/3.6*1000000</f>
        <v>135.54846072066292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705.21289999999999</v>
      </c>
      <c r="C15" s="33"/>
      <c r="D15" s="37">
        <f>IF( ISERROR(IND_rest_gas_kWh/1000),0,IND_rest_gas_kWh/1000)*0.902</f>
        <v>677.81165656854353</v>
      </c>
      <c r="E15" s="33">
        <f>C37*'E Balans VL '!I15/100/3.6*1000000</f>
        <v>35.876373680938229</v>
      </c>
      <c r="F15" s="33">
        <f>C37*'E Balans VL '!L15/100/3.6*1000000+C37*'E Balans VL '!N15/100/3.6*1000000</f>
        <v>160.74455299182921</v>
      </c>
      <c r="G15" s="34"/>
      <c r="H15" s="33"/>
      <c r="I15" s="33"/>
      <c r="J15" s="40">
        <f>C37*'E Balans VL '!D15/100/3.6*1000000+C37*'E Balans VL '!E15/100/3.6*1000000</f>
        <v>2.9586010902397262</v>
      </c>
      <c r="K15" s="33"/>
      <c r="L15" s="33"/>
      <c r="M15" s="33"/>
      <c r="N15" s="33">
        <f>C37*'E Balans VL '!Y15/100/3.6*1000000</f>
        <v>38.41788094817872</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3867.9746</v>
      </c>
      <c r="C18" s="21">
        <f>C5+C16</f>
        <v>0</v>
      </c>
      <c r="D18" s="21">
        <f>MAX((D5+D16),0)</f>
        <v>3701.78553661875</v>
      </c>
      <c r="E18" s="21">
        <f>MAX((E5+E16),0)</f>
        <v>234.72908019766723</v>
      </c>
      <c r="F18" s="21">
        <f>MAX((F5+F16),0)</f>
        <v>1791.7605492844559</v>
      </c>
      <c r="G18" s="21"/>
      <c r="H18" s="21"/>
      <c r="I18" s="21"/>
      <c r="J18" s="21">
        <f>MAX((J5+J16),0)</f>
        <v>9.1130778887570933</v>
      </c>
      <c r="K18" s="21"/>
      <c r="L18" s="21">
        <f>MAX((L5+L16),0)</f>
        <v>0</v>
      </c>
      <c r="M18" s="21"/>
      <c r="N18" s="21">
        <f>MAX((N5+N16),0)</f>
        <v>274.35968874008358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0.20055443765433073</v>
      </c>
      <c r="C20" s="25">
        <f ca="1">'EF ele_warmte'!B22</f>
        <v>0.23439895896360519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775.73947076423485</v>
      </c>
      <c r="C22" s="23">
        <f ca="1">C18*C20</f>
        <v>0</v>
      </c>
      <c r="D22" s="23">
        <f>D18*D20</f>
        <v>747.7606783969876</v>
      </c>
      <c r="E22" s="23">
        <f>E18*E20</f>
        <v>53.283501204870461</v>
      </c>
      <c r="F22" s="23">
        <f>F18*F20</f>
        <v>478.40006665894975</v>
      </c>
      <c r="G22" s="23"/>
      <c r="H22" s="23"/>
      <c r="I22" s="23"/>
      <c r="J22" s="23">
        <f>J18*J20</f>
        <v>3.226029572620011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2411.4209999999998</v>
      </c>
      <c r="C30" s="39">
        <f>IF(ISERROR(B30*3.6/1000000/'E Balans VL '!Z18*100),0,B30*3.6/1000000/'E Balans VL '!Z18*100)</f>
        <v>0.33751857850739703</v>
      </c>
      <c r="D30" s="237" t="s">
        <v>691</v>
      </c>
    </row>
    <row r="31" spans="1:18">
      <c r="A31" s="6" t="s">
        <v>32</v>
      </c>
      <c r="B31" s="37">
        <f>IF( ISERROR(IND_ander_ele_kWh/1000),0,IND_ander_ele_kWh/1000)</f>
        <v>494.18920000000003</v>
      </c>
      <c r="C31" s="39">
        <f>IF(ISERROR(B31*3.6/1000000/'E Balans VL '!Z19*100),0,B31*3.6/1000000/'E Balans VL '!Z19*100)</f>
        <v>2.1630581115121818E-2</v>
      </c>
      <c r="D31" s="237" t="s">
        <v>691</v>
      </c>
    </row>
    <row r="32" spans="1:18">
      <c r="A32" s="171" t="s">
        <v>40</v>
      </c>
      <c r="B32" s="37">
        <f>IF( ISERROR(IND_voed_ele_kWh/1000),0,IND_voed_ele_kWh/1000)</f>
        <v>257.1515</v>
      </c>
      <c r="C32" s="39">
        <f>IF(ISERROR(B32*3.6/1000000/'E Balans VL '!Z20*100),0,B32*3.6/1000000/'E Balans VL '!Z20*100)</f>
        <v>6.3662171819903884E-2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705.21289999999999</v>
      </c>
      <c r="C37" s="39">
        <f>IF(ISERROR(B37*3.6/1000000/'E Balans VL '!Z15*100),0,B37*3.6/1000000/'E Balans VL '!Z15*100)</f>
        <v>5.2290329159423356E-3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6477.7219999999998</v>
      </c>
      <c r="C5" s="17">
        <f>'Eigen informatie GS &amp; warmtenet'!B60</f>
        <v>0</v>
      </c>
      <c r="D5" s="30">
        <f>IF(ISERROR(SUM(LB_lb_gas_kWh,LB_rest_gas_kWh)/1000),0,SUM(LB_lb_gas_kWh,LB_rest_gas_kWh)/1000)*0.902</f>
        <v>15421.993928391081</v>
      </c>
      <c r="E5" s="17">
        <f>B17*'E Balans VL '!I25/3.6*1000000/100</f>
        <v>59.999374283368745</v>
      </c>
      <c r="F5" s="17">
        <f>B17*('E Balans VL '!L25/3.6*1000000+'E Balans VL '!N25/3.6*1000000)/100</f>
        <v>16435.214718774638</v>
      </c>
      <c r="G5" s="18"/>
      <c r="H5" s="17"/>
      <c r="I5" s="17"/>
      <c r="J5" s="17">
        <f>('E Balans VL '!D25+'E Balans VL '!E25)/3.6*1000000*landbouw!B17/100</f>
        <v>993.10707418850984</v>
      </c>
      <c r="K5" s="17"/>
      <c r="L5" s="17">
        <f>L6*(-1)</f>
        <v>0</v>
      </c>
      <c r="M5" s="17"/>
      <c r="N5" s="17">
        <f>N6*(-1)</f>
        <v>249.42857142857139</v>
      </c>
      <c r="O5" s="17"/>
      <c r="P5" s="17"/>
      <c r="R5" s="32"/>
    </row>
    <row r="6" spans="1:18">
      <c r="A6" s="16" t="s">
        <v>493</v>
      </c>
      <c r="B6" s="17" t="s">
        <v>210</v>
      </c>
      <c r="C6" s="17">
        <f>'lokale energieproductie'!O41+'lokale energieproductie'!O34</f>
        <v>9124.7142857142862</v>
      </c>
      <c r="D6" s="308">
        <f>('lokale energieproductie'!P34+'lokale energieproductie'!P41)*(-1)</f>
        <v>-18000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-249.42857142857139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6477.7219999999998</v>
      </c>
      <c r="C8" s="21">
        <f>C5+C6</f>
        <v>9124.7142857142862</v>
      </c>
      <c r="D8" s="21">
        <f>MAX((D5+D6),0)</f>
        <v>0</v>
      </c>
      <c r="E8" s="21">
        <f>MAX((E5+E6),0)</f>
        <v>59.999374283368745</v>
      </c>
      <c r="F8" s="21">
        <f>MAX((F5+F6),0)</f>
        <v>16435.214718774638</v>
      </c>
      <c r="G8" s="21"/>
      <c r="H8" s="21"/>
      <c r="I8" s="21"/>
      <c r="J8" s="21">
        <f>MAX((J5+J6),0)</f>
        <v>993.10707418850984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0.20055443765433073</v>
      </c>
      <c r="C10" s="31">
        <f ca="1">'EF ele_warmte'!B22</f>
        <v>0.23439895896360519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1299.1358929910866</v>
      </c>
      <c r="C12" s="23">
        <f ca="1">C8*C10</f>
        <v>2138.8235294117649</v>
      </c>
      <c r="D12" s="23">
        <f>D8*D10</f>
        <v>0</v>
      </c>
      <c r="E12" s="23">
        <f>E8*E10</f>
        <v>13.619857962324705</v>
      </c>
      <c r="F12" s="23">
        <f>F8*F10</f>
        <v>4388.2023299128286</v>
      </c>
      <c r="G12" s="23"/>
      <c r="H12" s="23"/>
      <c r="I12" s="23"/>
      <c r="J12" s="23">
        <f>J8*J10</f>
        <v>351.55990426273246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0.92099471695252999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1242.5438625005513</v>
      </c>
      <c r="C26" s="247">
        <f>B26*'GWP N2O_CH4'!B5</f>
        <v>26093.421112511576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501.00565179375479</v>
      </c>
      <c r="C27" s="247">
        <f>B27*'GWP N2O_CH4'!B5</f>
        <v>10521.11868766885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17.054556278056136</v>
      </c>
      <c r="C28" s="247">
        <f>B28*'GWP N2O_CH4'!B4</f>
        <v>5286.9124461974025</v>
      </c>
      <c r="D28" s="50"/>
    </row>
    <row r="29" spans="1:4">
      <c r="A29" s="41" t="s">
        <v>276</v>
      </c>
      <c r="B29" s="247">
        <f>B34*'ha_N2O bodem landbouw'!B4</f>
        <v>44.868917286360805</v>
      </c>
      <c r="C29" s="247">
        <f>B29*'GWP N2O_CH4'!B4</f>
        <v>13909.364358771849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1.0063307677689091E-2</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5.5730153827259141E-5</v>
      </c>
      <c r="C5" s="438" t="s">
        <v>210</v>
      </c>
      <c r="D5" s="423">
        <f>SUM(D6:D11)</f>
        <v>1.1363332468143976E-4</v>
      </c>
      <c r="E5" s="423">
        <f>SUM(E6:E11)</f>
        <v>1.080130213744685E-3</v>
      </c>
      <c r="F5" s="436" t="s">
        <v>210</v>
      </c>
      <c r="G5" s="423">
        <f>SUM(G6:G11)</f>
        <v>0.35642766604317466</v>
      </c>
      <c r="H5" s="423">
        <f>SUM(H6:H11)</f>
        <v>6.8759462756225534E-2</v>
      </c>
      <c r="I5" s="438" t="s">
        <v>210</v>
      </c>
      <c r="J5" s="438" t="s">
        <v>210</v>
      </c>
      <c r="K5" s="438" t="s">
        <v>210</v>
      </c>
      <c r="L5" s="438" t="s">
        <v>210</v>
      </c>
      <c r="M5" s="423">
        <f>SUM(M6:M11)</f>
        <v>2.2762021449448003E-2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4.2548990185505997E-5</v>
      </c>
      <c r="C6" s="424"/>
      <c r="D6" s="866">
        <f>vkm_GW_PW*SUMIFS(TableVerdeelsleutelVkm[CNG],TableVerdeelsleutelVkm[Voertuigtype],"Lichte voertuigen")*SUMIFS(TableECFTransport[EnergieConsumptieFactor (PJ per km)],TableECFTransport[Index],CONCATENATE($A6,"_CNG_CNG"))</f>
        <v>7.4247327825859933E-5</v>
      </c>
      <c r="E6" s="866">
        <f>vkm_GW_PW*SUMIFS(TableVerdeelsleutelVkm[LPG],TableVerdeelsleutelVkm[Voertuigtype],"Lichte voertuigen")*SUMIFS(TableECFTransport[EnergieConsumptieFactor (PJ per km)],TableECFTransport[Index],CONCATENATE($A6,"_LPG_LPG"))</f>
        <v>7.1912186791815149E-4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0.16900601284258177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4.5468635696120363E-2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1.1185411151982938E-2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8.9520288500277212E-2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1.7360829437788144E-6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5.1901839434942247E-3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1.3181163641753148E-5</v>
      </c>
      <c r="C8" s="424"/>
      <c r="D8" s="426">
        <f>vkm_NGW_PW*SUMIFS(TableVerdeelsleutelVkm[CNG],TableVerdeelsleutelVkm[Voertuigtype],"Lichte voertuigen")*SUMIFS(TableECFTransport[EnergieConsumptieFactor (PJ per km)],TableECFTransport[Index],CONCATENATE($A8,"_CNG_CNG"))</f>
        <v>3.9385996855579829E-5</v>
      </c>
      <c r="E8" s="426">
        <f>vkm_NGW_PW*SUMIFS(TableVerdeelsleutelVkm[LPG],TableVerdeelsleutelVkm[Voertuigtype],"Lichte voertuigen")*SUMIFS(TableECFTransport[EnergieConsumptieFactor (PJ per km)],TableECFTransport[Index],CONCATENATE($A8,"_LPG_LPG"))</f>
        <v>3.6100834582653344E-4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7.9639092279933196E-2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2.3288652284760791E-2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5.3276185072493668E-3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1.8262272420382458E-2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4.3869240059618545E-7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1.0588078467214756E-3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15.480598285349762</v>
      </c>
      <c r="C14" s="21"/>
      <c r="D14" s="21">
        <f t="shared" ref="D14:M14" si="0">((D5)*10^9/3600)+D12</f>
        <v>31.564812411511042</v>
      </c>
      <c r="E14" s="21">
        <f t="shared" si="0"/>
        <v>300.03617048463474</v>
      </c>
      <c r="F14" s="21"/>
      <c r="G14" s="21">
        <f t="shared" si="0"/>
        <v>99007.685011992973</v>
      </c>
      <c r="H14" s="21">
        <f t="shared" si="0"/>
        <v>19099.850765618205</v>
      </c>
      <c r="I14" s="21"/>
      <c r="J14" s="21"/>
      <c r="K14" s="21"/>
      <c r="L14" s="21"/>
      <c r="M14" s="21">
        <f t="shared" si="0"/>
        <v>6322.7837359577788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0.20055443765433073</v>
      </c>
      <c r="C16" s="56">
        <f ca="1">'EF ele_warmte'!B22</f>
        <v>0.23439895896360519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3.1047026836709182</v>
      </c>
      <c r="C18" s="23"/>
      <c r="D18" s="23">
        <f t="shared" ref="D18:M18" si="1">D14*D16</f>
        <v>6.3760921071252312</v>
      </c>
      <c r="E18" s="23">
        <f t="shared" si="1"/>
        <v>68.108210700012094</v>
      </c>
      <c r="F18" s="23"/>
      <c r="G18" s="23">
        <f t="shared" si="1"/>
        <v>26435.051898202124</v>
      </c>
      <c r="H18" s="23">
        <f t="shared" si="1"/>
        <v>4755.8628406389325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5.1004759312532708E-3</v>
      </c>
      <c r="H50" s="319">
        <f t="shared" si="2"/>
        <v>0</v>
      </c>
      <c r="I50" s="319">
        <f t="shared" si="2"/>
        <v>0</v>
      </c>
      <c r="J50" s="319">
        <f t="shared" si="2"/>
        <v>0</v>
      </c>
      <c r="K50" s="319">
        <f t="shared" si="2"/>
        <v>0</v>
      </c>
      <c r="L50" s="319">
        <f t="shared" si="2"/>
        <v>0</v>
      </c>
      <c r="M50" s="319">
        <f t="shared" si="2"/>
        <v>2.9152767987160571E-4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5.1004759312532708E-3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2.9152767987160571E-4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1416.7988697925753</v>
      </c>
      <c r="H54" s="21">
        <f t="shared" si="3"/>
        <v>0</v>
      </c>
      <c r="I54" s="21">
        <f t="shared" si="3"/>
        <v>0</v>
      </c>
      <c r="J54" s="21">
        <f t="shared" si="3"/>
        <v>0</v>
      </c>
      <c r="K54" s="21">
        <f t="shared" si="3"/>
        <v>0</v>
      </c>
      <c r="L54" s="21">
        <f t="shared" si="3"/>
        <v>0</v>
      </c>
      <c r="M54" s="21">
        <f t="shared" si="3"/>
        <v>80.979911075446026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0.20055443765433073</v>
      </c>
      <c r="C56" s="56">
        <f ca="1">'EF ele_warmte'!B22</f>
        <v>0.23439895896360519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378.28529823461764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9600.9172799999997</v>
      </c>
      <c r="D10" s="991">
        <f ca="1">tertiair!C16</f>
        <v>0</v>
      </c>
      <c r="E10" s="991">
        <f ca="1">tertiair!D16</f>
        <v>7797.4408470686412</v>
      </c>
      <c r="F10" s="991">
        <f>tertiair!E16</f>
        <v>92.640241388419213</v>
      </c>
      <c r="G10" s="991">
        <f ca="1">tertiair!F16</f>
        <v>1317.5869664647344</v>
      </c>
      <c r="H10" s="991">
        <f>tertiair!G16</f>
        <v>0</v>
      </c>
      <c r="I10" s="991">
        <f>tertiair!H16</f>
        <v>0</v>
      </c>
      <c r="J10" s="991">
        <f>tertiair!I16</f>
        <v>0</v>
      </c>
      <c r="K10" s="991">
        <f>tertiair!J16</f>
        <v>0</v>
      </c>
      <c r="L10" s="991">
        <f>tertiair!K16</f>
        <v>0</v>
      </c>
      <c r="M10" s="991">
        <f ca="1">tertiair!L16</f>
        <v>0</v>
      </c>
      <c r="N10" s="991">
        <f>tertiair!M16</f>
        <v>0</v>
      </c>
      <c r="O10" s="991">
        <f ca="1">tertiair!N16</f>
        <v>1069.3494647800726</v>
      </c>
      <c r="P10" s="991">
        <f>tertiair!O16</f>
        <v>3.1266666666666669</v>
      </c>
      <c r="Q10" s="992">
        <f>tertiair!P16</f>
        <v>0</v>
      </c>
      <c r="R10" s="675">
        <f ca="1">SUM(C10:Q10)</f>
        <v>19881.061466368534</v>
      </c>
      <c r="S10" s="67"/>
    </row>
    <row r="11" spans="1:19" s="448" customFormat="1">
      <c r="A11" s="784" t="s">
        <v>224</v>
      </c>
      <c r="B11" s="789"/>
      <c r="C11" s="991">
        <f>huishoudens!B8</f>
        <v>28545.207414801123</v>
      </c>
      <c r="D11" s="991">
        <f>huishoudens!C8</f>
        <v>0</v>
      </c>
      <c r="E11" s="991">
        <f>huishoudens!D8</f>
        <v>33981.08521335759</v>
      </c>
      <c r="F11" s="991">
        <f>huishoudens!E8</f>
        <v>24484.243344155748</v>
      </c>
      <c r="G11" s="991">
        <f>huishoudens!F8</f>
        <v>34242.117375430549</v>
      </c>
      <c r="H11" s="991">
        <f>huishoudens!G8</f>
        <v>0</v>
      </c>
      <c r="I11" s="991">
        <f>huishoudens!H8</f>
        <v>0</v>
      </c>
      <c r="J11" s="991">
        <f>huishoudens!I8</f>
        <v>0</v>
      </c>
      <c r="K11" s="991">
        <f>huishoudens!J8</f>
        <v>5302.8780658400519</v>
      </c>
      <c r="L11" s="991">
        <f>huishoudens!K8</f>
        <v>0</v>
      </c>
      <c r="M11" s="991">
        <f>huishoudens!L8</f>
        <v>0</v>
      </c>
      <c r="N11" s="991">
        <f>huishoudens!M8</f>
        <v>0</v>
      </c>
      <c r="O11" s="991">
        <f>huishoudens!N8</f>
        <v>12902.575412790555</v>
      </c>
      <c r="P11" s="991">
        <f>huishoudens!O8</f>
        <v>272.02000000000004</v>
      </c>
      <c r="Q11" s="992">
        <f>huishoudens!P8</f>
        <v>533.86666666666667</v>
      </c>
      <c r="R11" s="675">
        <f>SUM(C11:Q11)</f>
        <v>140263.99349304228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3867.9746</v>
      </c>
      <c r="D13" s="991">
        <f>industrie!C18</f>
        <v>0</v>
      </c>
      <c r="E13" s="991">
        <f>industrie!D18</f>
        <v>3701.78553661875</v>
      </c>
      <c r="F13" s="991">
        <f>industrie!E18</f>
        <v>234.72908019766723</v>
      </c>
      <c r="G13" s="991">
        <f>industrie!F18</f>
        <v>1791.7605492844559</v>
      </c>
      <c r="H13" s="991">
        <f>industrie!G18</f>
        <v>0</v>
      </c>
      <c r="I13" s="991">
        <f>industrie!H18</f>
        <v>0</v>
      </c>
      <c r="J13" s="991">
        <f>industrie!I18</f>
        <v>0</v>
      </c>
      <c r="K13" s="991">
        <f>industrie!J18</f>
        <v>9.1130778887570933</v>
      </c>
      <c r="L13" s="991">
        <f>industrie!K18</f>
        <v>0</v>
      </c>
      <c r="M13" s="991">
        <f>industrie!L18</f>
        <v>0</v>
      </c>
      <c r="N13" s="991">
        <f>industrie!M18</f>
        <v>0</v>
      </c>
      <c r="O13" s="991">
        <f>industrie!N18</f>
        <v>274.35968874008358</v>
      </c>
      <c r="P13" s="991">
        <f>industrie!O18</f>
        <v>0</v>
      </c>
      <c r="Q13" s="992">
        <f>industrie!P18</f>
        <v>0</v>
      </c>
      <c r="R13" s="675">
        <f>SUM(C13:Q13)</f>
        <v>9879.7225327297128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42014.099294801126</v>
      </c>
      <c r="D16" s="707">
        <f t="shared" ref="D16:R16" ca="1" si="0">SUM(D9:D15)</f>
        <v>0</v>
      </c>
      <c r="E16" s="707">
        <f t="shared" ca="1" si="0"/>
        <v>45480.31159704498</v>
      </c>
      <c r="F16" s="707">
        <f t="shared" si="0"/>
        <v>24811.612665741835</v>
      </c>
      <c r="G16" s="707">
        <f t="shared" ca="1" si="0"/>
        <v>37351.464891179741</v>
      </c>
      <c r="H16" s="707">
        <f t="shared" si="0"/>
        <v>0</v>
      </c>
      <c r="I16" s="707">
        <f t="shared" si="0"/>
        <v>0</v>
      </c>
      <c r="J16" s="707">
        <f t="shared" si="0"/>
        <v>0</v>
      </c>
      <c r="K16" s="707">
        <f t="shared" si="0"/>
        <v>5311.9911437288092</v>
      </c>
      <c r="L16" s="707">
        <f t="shared" si="0"/>
        <v>0</v>
      </c>
      <c r="M16" s="707">
        <f t="shared" ca="1" si="0"/>
        <v>0</v>
      </c>
      <c r="N16" s="707">
        <f t="shared" si="0"/>
        <v>0</v>
      </c>
      <c r="O16" s="707">
        <f t="shared" ca="1" si="0"/>
        <v>14246.284566310711</v>
      </c>
      <c r="P16" s="707">
        <f t="shared" si="0"/>
        <v>275.1466666666667</v>
      </c>
      <c r="Q16" s="707">
        <f t="shared" si="0"/>
        <v>533.86666666666667</v>
      </c>
      <c r="R16" s="707">
        <f t="shared" ca="1" si="0"/>
        <v>170024.77749214051</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1416.7988697925753</v>
      </c>
      <c r="I19" s="991">
        <f>transport!H54</f>
        <v>0</v>
      </c>
      <c r="J19" s="991">
        <f>transport!I54</f>
        <v>0</v>
      </c>
      <c r="K19" s="991">
        <f>transport!J54</f>
        <v>0</v>
      </c>
      <c r="L19" s="991">
        <f>transport!K54</f>
        <v>0</v>
      </c>
      <c r="M19" s="991">
        <f>transport!L54</f>
        <v>0</v>
      </c>
      <c r="N19" s="991">
        <f>transport!M54</f>
        <v>80.979911075446026</v>
      </c>
      <c r="O19" s="991">
        <f>transport!N54</f>
        <v>0</v>
      </c>
      <c r="P19" s="991">
        <f>transport!O54</f>
        <v>0</v>
      </c>
      <c r="Q19" s="992">
        <f>transport!P54</f>
        <v>0</v>
      </c>
      <c r="R19" s="675">
        <f>SUM(C19:Q19)</f>
        <v>1497.7787808680214</v>
      </c>
      <c r="S19" s="67"/>
    </row>
    <row r="20" spans="1:19" s="448" customFormat="1">
      <c r="A20" s="784" t="s">
        <v>306</v>
      </c>
      <c r="B20" s="789"/>
      <c r="C20" s="991">
        <f>transport!B14</f>
        <v>15.480598285349762</v>
      </c>
      <c r="D20" s="991">
        <f>transport!C14</f>
        <v>0</v>
      </c>
      <c r="E20" s="991">
        <f>transport!D14</f>
        <v>31.564812411511042</v>
      </c>
      <c r="F20" s="991">
        <f>transport!E14</f>
        <v>300.03617048463474</v>
      </c>
      <c r="G20" s="991">
        <f>transport!F14</f>
        <v>0</v>
      </c>
      <c r="H20" s="991">
        <f>transport!G14</f>
        <v>99007.685011992973</v>
      </c>
      <c r="I20" s="991">
        <f>transport!H14</f>
        <v>19099.850765618205</v>
      </c>
      <c r="J20" s="991">
        <f>transport!I14</f>
        <v>0</v>
      </c>
      <c r="K20" s="991">
        <f>transport!J14</f>
        <v>0</v>
      </c>
      <c r="L20" s="991">
        <f>transport!K14</f>
        <v>0</v>
      </c>
      <c r="M20" s="991">
        <f>transport!L14</f>
        <v>0</v>
      </c>
      <c r="N20" s="991">
        <f>transport!M14</f>
        <v>6322.7837359577788</v>
      </c>
      <c r="O20" s="991">
        <f>transport!N14</f>
        <v>0</v>
      </c>
      <c r="P20" s="991">
        <f>transport!O14</f>
        <v>0</v>
      </c>
      <c r="Q20" s="992">
        <f>transport!P14</f>
        <v>0</v>
      </c>
      <c r="R20" s="675">
        <f>SUM(C20:Q20)</f>
        <v>124777.40109475046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15.480598285349762</v>
      </c>
      <c r="D22" s="787">
        <f t="shared" ref="D22:R22" si="1">SUM(D18:D21)</f>
        <v>0</v>
      </c>
      <c r="E22" s="787">
        <f t="shared" si="1"/>
        <v>31.564812411511042</v>
      </c>
      <c r="F22" s="787">
        <f t="shared" si="1"/>
        <v>300.03617048463474</v>
      </c>
      <c r="G22" s="787">
        <f t="shared" si="1"/>
        <v>0</v>
      </c>
      <c r="H22" s="787">
        <f t="shared" si="1"/>
        <v>100424.48388178555</v>
      </c>
      <c r="I22" s="787">
        <f t="shared" si="1"/>
        <v>19099.850765618205</v>
      </c>
      <c r="J22" s="787">
        <f t="shared" si="1"/>
        <v>0</v>
      </c>
      <c r="K22" s="787">
        <f t="shared" si="1"/>
        <v>0</v>
      </c>
      <c r="L22" s="787">
        <f t="shared" si="1"/>
        <v>0</v>
      </c>
      <c r="M22" s="787">
        <f t="shared" si="1"/>
        <v>0</v>
      </c>
      <c r="N22" s="787">
        <f t="shared" si="1"/>
        <v>6403.7636470332245</v>
      </c>
      <c r="O22" s="787">
        <f t="shared" si="1"/>
        <v>0</v>
      </c>
      <c r="P22" s="787">
        <f t="shared" si="1"/>
        <v>0</v>
      </c>
      <c r="Q22" s="787">
        <f t="shared" si="1"/>
        <v>0</v>
      </c>
      <c r="R22" s="787">
        <f t="shared" si="1"/>
        <v>126275.17987561847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6477.7219999999998</v>
      </c>
      <c r="D24" s="991">
        <f>+landbouw!C8</f>
        <v>9124.7142857142862</v>
      </c>
      <c r="E24" s="991">
        <f>+landbouw!D8</f>
        <v>0</v>
      </c>
      <c r="F24" s="991">
        <f>+landbouw!E8</f>
        <v>59.999374283368745</v>
      </c>
      <c r="G24" s="991">
        <f>+landbouw!F8</f>
        <v>16435.214718774638</v>
      </c>
      <c r="H24" s="991">
        <f>+landbouw!G8</f>
        <v>0</v>
      </c>
      <c r="I24" s="991">
        <f>+landbouw!H8</f>
        <v>0</v>
      </c>
      <c r="J24" s="991">
        <f>+landbouw!I8</f>
        <v>0</v>
      </c>
      <c r="K24" s="991">
        <f>+landbouw!J8</f>
        <v>993.10707418850984</v>
      </c>
      <c r="L24" s="991">
        <f>+landbouw!K8</f>
        <v>0</v>
      </c>
      <c r="M24" s="991">
        <f>+landbouw!L8</f>
        <v>0</v>
      </c>
      <c r="N24" s="991">
        <f>+landbouw!M8</f>
        <v>0</v>
      </c>
      <c r="O24" s="991">
        <f>+landbouw!N8</f>
        <v>0</v>
      </c>
      <c r="P24" s="991">
        <f>+landbouw!O8</f>
        <v>0</v>
      </c>
      <c r="Q24" s="992">
        <f>+landbouw!P8</f>
        <v>0</v>
      </c>
      <c r="R24" s="675">
        <f>SUM(C24:Q24)</f>
        <v>33090.757452960803</v>
      </c>
      <c r="S24" s="67"/>
    </row>
    <row r="25" spans="1:19" s="448" customFormat="1" ht="15" thickBot="1">
      <c r="A25" s="806" t="s">
        <v>849</v>
      </c>
      <c r="B25" s="994"/>
      <c r="C25" s="995">
        <f>IF(Onbekend_ele_kWh="---",0,Onbekend_ele_kWh)/1000+IF(REST_rest_ele_kWh="---",0,REST_rest_ele_kWh)/1000</f>
        <v>852.79240000000004</v>
      </c>
      <c r="D25" s="995"/>
      <c r="E25" s="995">
        <f>IF(onbekend_gas_kWh="---",0,onbekend_gas_kWh)/1000+IF(REST_rest_gas_kWh="---",0,REST_rest_gas_kWh)/1000</f>
        <v>1948.2231339914401</v>
      </c>
      <c r="F25" s="995"/>
      <c r="G25" s="995"/>
      <c r="H25" s="995"/>
      <c r="I25" s="995"/>
      <c r="J25" s="995"/>
      <c r="K25" s="995"/>
      <c r="L25" s="995"/>
      <c r="M25" s="995"/>
      <c r="N25" s="995"/>
      <c r="O25" s="995"/>
      <c r="P25" s="995"/>
      <c r="Q25" s="996"/>
      <c r="R25" s="675">
        <f>SUM(C25:Q25)</f>
        <v>2801.01553399144</v>
      </c>
      <c r="S25" s="67"/>
    </row>
    <row r="26" spans="1:19" s="448" customFormat="1" ht="15.75" thickBot="1">
      <c r="A26" s="680" t="s">
        <v>850</v>
      </c>
      <c r="B26" s="792"/>
      <c r="C26" s="787">
        <f>SUM(C24:C25)</f>
        <v>7330.5144</v>
      </c>
      <c r="D26" s="787">
        <f t="shared" ref="D26:R26" si="2">SUM(D24:D25)</f>
        <v>9124.7142857142862</v>
      </c>
      <c r="E26" s="787">
        <f t="shared" si="2"/>
        <v>1948.2231339914401</v>
      </c>
      <c r="F26" s="787">
        <f t="shared" si="2"/>
        <v>59.999374283368745</v>
      </c>
      <c r="G26" s="787">
        <f t="shared" si="2"/>
        <v>16435.214718774638</v>
      </c>
      <c r="H26" s="787">
        <f t="shared" si="2"/>
        <v>0</v>
      </c>
      <c r="I26" s="787">
        <f t="shared" si="2"/>
        <v>0</v>
      </c>
      <c r="J26" s="787">
        <f t="shared" si="2"/>
        <v>0</v>
      </c>
      <c r="K26" s="787">
        <f t="shared" si="2"/>
        <v>993.10707418850984</v>
      </c>
      <c r="L26" s="787">
        <f t="shared" si="2"/>
        <v>0</v>
      </c>
      <c r="M26" s="787">
        <f t="shared" si="2"/>
        <v>0</v>
      </c>
      <c r="N26" s="787">
        <f t="shared" si="2"/>
        <v>0</v>
      </c>
      <c r="O26" s="787">
        <f t="shared" si="2"/>
        <v>0</v>
      </c>
      <c r="P26" s="787">
        <f t="shared" si="2"/>
        <v>0</v>
      </c>
      <c r="Q26" s="787">
        <f t="shared" si="2"/>
        <v>0</v>
      </c>
      <c r="R26" s="787">
        <f t="shared" si="2"/>
        <v>35891.772986952245</v>
      </c>
      <c r="S26" s="67"/>
    </row>
    <row r="27" spans="1:19" s="448" customFormat="1" ht="17.25" thickTop="1" thickBot="1">
      <c r="A27" s="681" t="s">
        <v>115</v>
      </c>
      <c r="B27" s="780"/>
      <c r="C27" s="682">
        <f ca="1">C22+C16+C26</f>
        <v>49360.094293086477</v>
      </c>
      <c r="D27" s="682">
        <f t="shared" ref="D27:R27" ca="1" si="3">D22+D16+D26</f>
        <v>9124.7142857142862</v>
      </c>
      <c r="E27" s="682">
        <f t="shared" ca="1" si="3"/>
        <v>47460.099543447934</v>
      </c>
      <c r="F27" s="682">
        <f t="shared" si="3"/>
        <v>25171.64821050984</v>
      </c>
      <c r="G27" s="682">
        <f t="shared" ca="1" si="3"/>
        <v>53786.679609954379</v>
      </c>
      <c r="H27" s="682">
        <f t="shared" si="3"/>
        <v>100424.48388178555</v>
      </c>
      <c r="I27" s="682">
        <f t="shared" si="3"/>
        <v>19099.850765618205</v>
      </c>
      <c r="J27" s="682">
        <f t="shared" si="3"/>
        <v>0</v>
      </c>
      <c r="K27" s="682">
        <f t="shared" si="3"/>
        <v>6305.0982179173188</v>
      </c>
      <c r="L27" s="682">
        <f t="shared" si="3"/>
        <v>0</v>
      </c>
      <c r="M27" s="682">
        <f t="shared" ca="1" si="3"/>
        <v>0</v>
      </c>
      <c r="N27" s="682">
        <f t="shared" si="3"/>
        <v>6403.7636470332245</v>
      </c>
      <c r="O27" s="682">
        <f t="shared" ca="1" si="3"/>
        <v>14246.284566310711</v>
      </c>
      <c r="P27" s="682">
        <f t="shared" si="3"/>
        <v>275.1466666666667</v>
      </c>
      <c r="Q27" s="682">
        <f t="shared" si="3"/>
        <v>533.86666666666667</v>
      </c>
      <c r="R27" s="682">
        <f t="shared" ca="1" si="3"/>
        <v>332191.73035471118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1925.5065660561468</v>
      </c>
      <c r="D40" s="991">
        <f ca="1">tertiair!C20</f>
        <v>0</v>
      </c>
      <c r="E40" s="991">
        <f ca="1">tertiair!D20</f>
        <v>1575.0830511078657</v>
      </c>
      <c r="F40" s="991">
        <f>tertiair!E20</f>
        <v>21.029334795171163</v>
      </c>
      <c r="G40" s="991">
        <f ca="1">tertiair!F20</f>
        <v>351.79572004608411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3873.4146720052677</v>
      </c>
    </row>
    <row r="41" spans="1:18">
      <c r="A41" s="797" t="s">
        <v>224</v>
      </c>
      <c r="B41" s="804"/>
      <c r="C41" s="991">
        <f ca="1">huishoudens!B12</f>
        <v>5724.8680208016713</v>
      </c>
      <c r="D41" s="991">
        <f ca="1">huishoudens!C12</f>
        <v>0</v>
      </c>
      <c r="E41" s="991">
        <f>huishoudens!D12</f>
        <v>6864.179213098234</v>
      </c>
      <c r="F41" s="991">
        <f>huishoudens!E12</f>
        <v>5557.9232391233545</v>
      </c>
      <c r="G41" s="991">
        <f>huishoudens!F12</f>
        <v>9142.6453392399562</v>
      </c>
      <c r="H41" s="991">
        <f>huishoudens!G12</f>
        <v>0</v>
      </c>
      <c r="I41" s="991">
        <f>huishoudens!H12</f>
        <v>0</v>
      </c>
      <c r="J41" s="991">
        <f>huishoudens!I12</f>
        <v>0</v>
      </c>
      <c r="K41" s="991">
        <f>huishoudens!J12</f>
        <v>1877.2188353073782</v>
      </c>
      <c r="L41" s="991">
        <f>huishoudens!K12</f>
        <v>0</v>
      </c>
      <c r="M41" s="991">
        <f>huishoudens!L12</f>
        <v>0</v>
      </c>
      <c r="N41" s="991">
        <f>huishoudens!M12</f>
        <v>0</v>
      </c>
      <c r="O41" s="991">
        <f>huishoudens!N12</f>
        <v>0</v>
      </c>
      <c r="P41" s="991">
        <f>huishoudens!O12</f>
        <v>0</v>
      </c>
      <c r="Q41" s="749">
        <f>huishoudens!P12</f>
        <v>0</v>
      </c>
      <c r="R41" s="825">
        <f t="shared" ca="1" si="4"/>
        <v>29166.834647570598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775.73947076423485</v>
      </c>
      <c r="D43" s="991">
        <f ca="1">industrie!C22</f>
        <v>0</v>
      </c>
      <c r="E43" s="991">
        <f>industrie!D22</f>
        <v>747.7606783969876</v>
      </c>
      <c r="F43" s="991">
        <f>industrie!E22</f>
        <v>53.283501204870461</v>
      </c>
      <c r="G43" s="991">
        <f>industrie!F22</f>
        <v>478.40006665894975</v>
      </c>
      <c r="H43" s="991">
        <f>industrie!G22</f>
        <v>0</v>
      </c>
      <c r="I43" s="991">
        <f>industrie!H22</f>
        <v>0</v>
      </c>
      <c r="J43" s="991">
        <f>industrie!I22</f>
        <v>0</v>
      </c>
      <c r="K43" s="991">
        <f>industrie!J22</f>
        <v>3.226029572620011</v>
      </c>
      <c r="L43" s="991">
        <f>industrie!K22</f>
        <v>0</v>
      </c>
      <c r="M43" s="991">
        <f>industrie!L22</f>
        <v>0</v>
      </c>
      <c r="N43" s="991">
        <f>industrie!M22</f>
        <v>0</v>
      </c>
      <c r="O43" s="991">
        <f>industrie!N22</f>
        <v>0</v>
      </c>
      <c r="P43" s="991">
        <f>industrie!O22</f>
        <v>0</v>
      </c>
      <c r="Q43" s="749">
        <f>industrie!P22</f>
        <v>0</v>
      </c>
      <c r="R43" s="824">
        <f t="shared" ca="1" si="4"/>
        <v>2058.4097465976629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8426.1140576220532</v>
      </c>
      <c r="D46" s="707">
        <f t="shared" ref="D46:Q46" ca="1" si="5">SUM(D39:D45)</f>
        <v>0</v>
      </c>
      <c r="E46" s="707">
        <f t="shared" ca="1" si="5"/>
        <v>9187.0229426030874</v>
      </c>
      <c r="F46" s="707">
        <f t="shared" si="5"/>
        <v>5632.2360751233964</v>
      </c>
      <c r="G46" s="707">
        <f t="shared" ca="1" si="5"/>
        <v>9972.8411259449895</v>
      </c>
      <c r="H46" s="707">
        <f t="shared" si="5"/>
        <v>0</v>
      </c>
      <c r="I46" s="707">
        <f t="shared" si="5"/>
        <v>0</v>
      </c>
      <c r="J46" s="707">
        <f t="shared" si="5"/>
        <v>0</v>
      </c>
      <c r="K46" s="707">
        <f t="shared" si="5"/>
        <v>1880.4448648799982</v>
      </c>
      <c r="L46" s="707">
        <f t="shared" si="5"/>
        <v>0</v>
      </c>
      <c r="M46" s="707">
        <f t="shared" ca="1" si="5"/>
        <v>0</v>
      </c>
      <c r="N46" s="707">
        <f t="shared" si="5"/>
        <v>0</v>
      </c>
      <c r="O46" s="707">
        <f t="shared" ca="1" si="5"/>
        <v>0</v>
      </c>
      <c r="P46" s="707">
        <f t="shared" si="5"/>
        <v>0</v>
      </c>
      <c r="Q46" s="707">
        <f t="shared" si="5"/>
        <v>0</v>
      </c>
      <c r="R46" s="707">
        <f ca="1">SUM(R39:R45)</f>
        <v>35098.659066173524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378.28529823461764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378.28529823461764</v>
      </c>
    </row>
    <row r="50" spans="1:18">
      <c r="A50" s="800" t="s">
        <v>306</v>
      </c>
      <c r="B50" s="810"/>
      <c r="C50" s="678">
        <f ca="1">transport!B18</f>
        <v>3.1047026836709182</v>
      </c>
      <c r="D50" s="678">
        <f>transport!C18</f>
        <v>0</v>
      </c>
      <c r="E50" s="678">
        <f>transport!D18</f>
        <v>6.3760921071252312</v>
      </c>
      <c r="F50" s="678">
        <f>transport!E18</f>
        <v>68.108210700012094</v>
      </c>
      <c r="G50" s="678">
        <f>transport!F18</f>
        <v>0</v>
      </c>
      <c r="H50" s="678">
        <f>transport!G18</f>
        <v>26435.051898202124</v>
      </c>
      <c r="I50" s="678">
        <f>transport!H18</f>
        <v>4755.8628406389325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31268.503744331865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3.1047026836709182</v>
      </c>
      <c r="D52" s="707">
        <f t="shared" ref="D52:Q52" ca="1" si="6">SUM(D48:D51)</f>
        <v>0</v>
      </c>
      <c r="E52" s="707">
        <f t="shared" si="6"/>
        <v>6.3760921071252312</v>
      </c>
      <c r="F52" s="707">
        <f t="shared" si="6"/>
        <v>68.108210700012094</v>
      </c>
      <c r="G52" s="707">
        <f t="shared" si="6"/>
        <v>0</v>
      </c>
      <c r="H52" s="707">
        <f t="shared" si="6"/>
        <v>26813.337196436743</v>
      </c>
      <c r="I52" s="707">
        <f t="shared" si="6"/>
        <v>4755.8628406389325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31646.789042566485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1299.1358929910866</v>
      </c>
      <c r="D54" s="678">
        <f ca="1">+landbouw!C12</f>
        <v>2138.8235294117649</v>
      </c>
      <c r="E54" s="678">
        <f>+landbouw!D12</f>
        <v>0</v>
      </c>
      <c r="F54" s="678">
        <f>+landbouw!E12</f>
        <v>13.619857962324705</v>
      </c>
      <c r="G54" s="678">
        <f>+landbouw!F12</f>
        <v>4388.2023299128286</v>
      </c>
      <c r="H54" s="678">
        <f>+landbouw!G12</f>
        <v>0</v>
      </c>
      <c r="I54" s="678">
        <f>+landbouw!H12</f>
        <v>0</v>
      </c>
      <c r="J54" s="678">
        <f>+landbouw!I12</f>
        <v>0</v>
      </c>
      <c r="K54" s="678">
        <f>+landbouw!J12</f>
        <v>351.55990426273246</v>
      </c>
      <c r="L54" s="678">
        <f>+landbouw!K12</f>
        <v>0</v>
      </c>
      <c r="M54" s="678">
        <f>+landbouw!L12</f>
        <v>0</v>
      </c>
      <c r="N54" s="678">
        <f>+landbouw!M12</f>
        <v>0</v>
      </c>
      <c r="O54" s="678">
        <f>+landbouw!N12</f>
        <v>0</v>
      </c>
      <c r="P54" s="678">
        <f>+landbouw!O12</f>
        <v>0</v>
      </c>
      <c r="Q54" s="679">
        <f>+landbouw!P12</f>
        <v>0</v>
      </c>
      <c r="R54" s="706">
        <f ca="1">SUM(C54:Q54)</f>
        <v>8191.341514540738</v>
      </c>
    </row>
    <row r="55" spans="1:18" ht="15" thickBot="1">
      <c r="A55" s="800" t="s">
        <v>849</v>
      </c>
      <c r="B55" s="810"/>
      <c r="C55" s="678">
        <f ca="1">C25*'EF ele_warmte'!B12</f>
        <v>171.03130021788709</v>
      </c>
      <c r="D55" s="678"/>
      <c r="E55" s="678">
        <f>E25*EF_CO2_aardgas</f>
        <v>393.54107306627094</v>
      </c>
      <c r="F55" s="678"/>
      <c r="G55" s="678"/>
      <c r="H55" s="678"/>
      <c r="I55" s="678"/>
      <c r="J55" s="678"/>
      <c r="K55" s="678"/>
      <c r="L55" s="678"/>
      <c r="M55" s="678"/>
      <c r="N55" s="678"/>
      <c r="O55" s="678"/>
      <c r="P55" s="678"/>
      <c r="Q55" s="679"/>
      <c r="R55" s="706">
        <f ca="1">SUM(C55:Q55)</f>
        <v>564.57237328415806</v>
      </c>
    </row>
    <row r="56" spans="1:18" ht="15.75" thickBot="1">
      <c r="A56" s="798" t="s">
        <v>850</v>
      </c>
      <c r="B56" s="811"/>
      <c r="C56" s="707">
        <f ca="1">SUM(C54:C55)</f>
        <v>1470.1671932089737</v>
      </c>
      <c r="D56" s="707">
        <f t="shared" ref="D56:Q56" ca="1" si="7">SUM(D54:D55)</f>
        <v>2138.8235294117649</v>
      </c>
      <c r="E56" s="707">
        <f t="shared" si="7"/>
        <v>393.54107306627094</v>
      </c>
      <c r="F56" s="707">
        <f t="shared" si="7"/>
        <v>13.619857962324705</v>
      </c>
      <c r="G56" s="707">
        <f t="shared" si="7"/>
        <v>4388.2023299128286</v>
      </c>
      <c r="H56" s="707">
        <f t="shared" si="7"/>
        <v>0</v>
      </c>
      <c r="I56" s="707">
        <f t="shared" si="7"/>
        <v>0</v>
      </c>
      <c r="J56" s="707">
        <f t="shared" si="7"/>
        <v>0</v>
      </c>
      <c r="K56" s="707">
        <f t="shared" si="7"/>
        <v>351.55990426273246</v>
      </c>
      <c r="L56" s="707">
        <f t="shared" si="7"/>
        <v>0</v>
      </c>
      <c r="M56" s="707">
        <f t="shared" si="7"/>
        <v>0</v>
      </c>
      <c r="N56" s="707">
        <f t="shared" si="7"/>
        <v>0</v>
      </c>
      <c r="O56" s="707">
        <f t="shared" si="7"/>
        <v>0</v>
      </c>
      <c r="P56" s="707">
        <f t="shared" si="7"/>
        <v>0</v>
      </c>
      <c r="Q56" s="708">
        <f t="shared" si="7"/>
        <v>0</v>
      </c>
      <c r="R56" s="709">
        <f ca="1">SUM(R54:R55)</f>
        <v>8755.9138878248959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9899.3859535146985</v>
      </c>
      <c r="D61" s="715">
        <f t="shared" ref="D61:Q61" ca="1" si="8">D46+D52+D56</f>
        <v>2138.8235294117649</v>
      </c>
      <c r="E61" s="715">
        <f t="shared" ca="1" si="8"/>
        <v>9586.9401077764833</v>
      </c>
      <c r="F61" s="715">
        <f t="shared" si="8"/>
        <v>5713.9641437857335</v>
      </c>
      <c r="G61" s="715">
        <f t="shared" ca="1" si="8"/>
        <v>14361.043455857818</v>
      </c>
      <c r="H61" s="715">
        <f t="shared" si="8"/>
        <v>26813.337196436743</v>
      </c>
      <c r="I61" s="715">
        <f t="shared" si="8"/>
        <v>4755.8628406389325</v>
      </c>
      <c r="J61" s="715">
        <f t="shared" si="8"/>
        <v>0</v>
      </c>
      <c r="K61" s="715">
        <f t="shared" si="8"/>
        <v>2232.0047691427308</v>
      </c>
      <c r="L61" s="715">
        <f t="shared" si="8"/>
        <v>0</v>
      </c>
      <c r="M61" s="715">
        <f t="shared" ca="1" si="8"/>
        <v>0</v>
      </c>
      <c r="N61" s="715">
        <f t="shared" si="8"/>
        <v>0</v>
      </c>
      <c r="O61" s="715">
        <f t="shared" ca="1" si="8"/>
        <v>0</v>
      </c>
      <c r="P61" s="715">
        <f t="shared" si="8"/>
        <v>0</v>
      </c>
      <c r="Q61" s="715">
        <f t="shared" si="8"/>
        <v>0</v>
      </c>
      <c r="R61" s="715">
        <f ca="1">R46+R52+R56</f>
        <v>75501.361996564898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0.20055443765433073</v>
      </c>
      <c r="D63" s="756">
        <f t="shared" ca="1" si="9"/>
        <v>0.23439895896360519</v>
      </c>
      <c r="E63" s="1002">
        <f t="shared" ca="1" si="9"/>
        <v>0.20200000000000001</v>
      </c>
      <c r="F63" s="756">
        <f t="shared" si="9"/>
        <v>0.22699999999999998</v>
      </c>
      <c r="G63" s="756">
        <f t="shared" ca="1" si="9"/>
        <v>0.26699999999999996</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4953.7468590300869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87.299999999999983</v>
      </c>
      <c r="C76" s="725">
        <f>'lokale energieproductie'!B8*IFERROR(SUM(D76:H76)/SUM(D76:O76),0)</f>
        <v>6299.9999999999991</v>
      </c>
      <c r="D76" s="1012">
        <f>'lokale energieproductie'!C8</f>
        <v>7411.7647058823522</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102.70588235294116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1497.1764705882354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5041.046859030087</v>
      </c>
      <c r="C78" s="730">
        <f>SUM(C72:C77)</f>
        <v>6299.9999999999991</v>
      </c>
      <c r="D78" s="731">
        <f t="shared" ref="D78:H78" si="10">SUM(D76:D77)</f>
        <v>7411.7647058823522</v>
      </c>
      <c r="E78" s="731">
        <f t="shared" si="10"/>
        <v>0</v>
      </c>
      <c r="F78" s="731">
        <f t="shared" si="10"/>
        <v>0</v>
      </c>
      <c r="G78" s="731">
        <f t="shared" si="10"/>
        <v>0</v>
      </c>
      <c r="H78" s="731">
        <f t="shared" si="10"/>
        <v>0</v>
      </c>
      <c r="I78" s="731">
        <f>SUM(I76:I77)</f>
        <v>0</v>
      </c>
      <c r="J78" s="731">
        <f>SUM(J76:J77)</f>
        <v>102.70588235294116</v>
      </c>
      <c r="K78" s="731">
        <f t="shared" ref="K78:L78" si="11">SUM(K76:K77)</f>
        <v>0</v>
      </c>
      <c r="L78" s="731">
        <f t="shared" si="11"/>
        <v>0</v>
      </c>
      <c r="M78" s="731">
        <f>SUM(M76:M77)</f>
        <v>0</v>
      </c>
      <c r="N78" s="731">
        <f>SUM(N76:N77)</f>
        <v>0</v>
      </c>
      <c r="O78" s="835">
        <f>SUM(O76:O77)</f>
        <v>0</v>
      </c>
      <c r="P78" s="732">
        <v>0</v>
      </c>
      <c r="Q78" s="732">
        <f>SUM(Q76:Q77)</f>
        <v>1497.1764705882354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124.71428571428569</v>
      </c>
      <c r="C87" s="741">
        <f>'lokale energieproductie'!B17*IFERROR(SUM(D87:H87)/SUM(D87:O87),0)</f>
        <v>9000</v>
      </c>
      <c r="D87" s="752">
        <f>'lokale energieproductie'!C17</f>
        <v>10588.235294117647</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146.72268907563023</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2138.8235294117649</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124.71428571428569</v>
      </c>
      <c r="C90" s="730">
        <f>SUM(C87:C89)</f>
        <v>9000</v>
      </c>
      <c r="D90" s="730">
        <f t="shared" ref="D90:H90" si="12">SUM(D87:D89)</f>
        <v>10588.235294117647</v>
      </c>
      <c r="E90" s="730">
        <f t="shared" si="12"/>
        <v>0</v>
      </c>
      <c r="F90" s="730">
        <f t="shared" si="12"/>
        <v>0</v>
      </c>
      <c r="G90" s="730">
        <f t="shared" si="12"/>
        <v>0</v>
      </c>
      <c r="H90" s="730">
        <f t="shared" si="12"/>
        <v>0</v>
      </c>
      <c r="I90" s="730">
        <f>SUM(I87:I89)</f>
        <v>0</v>
      </c>
      <c r="J90" s="730">
        <f>SUM(J87:J89)</f>
        <v>146.72268907563023</v>
      </c>
      <c r="K90" s="730">
        <f t="shared" ref="K90:L90" si="13">SUM(K87:K89)</f>
        <v>0</v>
      </c>
      <c r="L90" s="730">
        <f t="shared" si="13"/>
        <v>0</v>
      </c>
      <c r="M90" s="730">
        <f>SUM(M87:M89)</f>
        <v>0</v>
      </c>
      <c r="N90" s="730">
        <f>SUM(N87:N89)</f>
        <v>0</v>
      </c>
      <c r="O90" s="730">
        <f>SUM(O87:O89)</f>
        <v>0</v>
      </c>
      <c r="P90" s="730">
        <v>0</v>
      </c>
      <c r="Q90" s="730">
        <f>SUM(Q87:Q89)</f>
        <v>2138.8235294117649</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4953.7468590300869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6387.2999999999993</v>
      </c>
      <c r="C8" s="545">
        <f>B50</f>
        <v>7411.7647058823522</v>
      </c>
      <c r="D8" s="1022"/>
      <c r="E8" s="1022">
        <f>E50</f>
        <v>0</v>
      </c>
      <c r="F8" s="1023"/>
      <c r="G8" s="546"/>
      <c r="H8" s="1022">
        <f>I50</f>
        <v>0</v>
      </c>
      <c r="I8" s="1022">
        <f>G50+F50</f>
        <v>0</v>
      </c>
      <c r="J8" s="1022">
        <f>H50+D50+C50</f>
        <v>102.70588235294116</v>
      </c>
      <c r="K8" s="1022"/>
      <c r="L8" s="1022"/>
      <c r="M8" s="1022"/>
      <c r="N8" s="547"/>
      <c r="O8" s="548">
        <f>C8*$C$12+D8*$D$12+E8*$E$12+F8*$F$12+G8*$G$12+H8*$H$12+I8*$I$12+J8*$J$12</f>
        <v>1497.1764705882354</v>
      </c>
      <c r="P8" s="1253"/>
      <c r="Q8" s="1254"/>
      <c r="S8" s="986"/>
      <c r="T8" s="1274"/>
      <c r="U8" s="1274"/>
    </row>
    <row r="9" spans="1:21" s="534" customFormat="1" ht="17.45" customHeight="1" thickBot="1">
      <c r="A9" s="549" t="s">
        <v>247</v>
      </c>
      <c r="B9" s="550">
        <f>N38+'Eigen informatie GS &amp; warmtenet'!B12</f>
        <v>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11341.046859030086</v>
      </c>
      <c r="C10" s="558">
        <f t="shared" ref="C10:L10" si="0">SUM(C8:C9)</f>
        <v>7411.7647058823522</v>
      </c>
      <c r="D10" s="558">
        <f t="shared" si="0"/>
        <v>0</v>
      </c>
      <c r="E10" s="558">
        <f t="shared" si="0"/>
        <v>0</v>
      </c>
      <c r="F10" s="558">
        <f t="shared" si="0"/>
        <v>0</v>
      </c>
      <c r="G10" s="558">
        <f t="shared" si="0"/>
        <v>0</v>
      </c>
      <c r="H10" s="558">
        <f t="shared" si="0"/>
        <v>0</v>
      </c>
      <c r="I10" s="558">
        <f t="shared" si="0"/>
        <v>0</v>
      </c>
      <c r="J10" s="558">
        <f t="shared" si="0"/>
        <v>102.70588235294116</v>
      </c>
      <c r="K10" s="558">
        <f t="shared" si="0"/>
        <v>0</v>
      </c>
      <c r="L10" s="558">
        <f t="shared" si="0"/>
        <v>0</v>
      </c>
      <c r="M10" s="1025"/>
      <c r="N10" s="1025"/>
      <c r="O10" s="559">
        <f>SUM(O4:O9)</f>
        <v>1497.1764705882354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9124.7142857142862</v>
      </c>
      <c r="C17" s="570">
        <f>B51</f>
        <v>10588.235294117647</v>
      </c>
      <c r="D17" s="571"/>
      <c r="E17" s="571">
        <f>E51</f>
        <v>0</v>
      </c>
      <c r="F17" s="1028"/>
      <c r="G17" s="572"/>
      <c r="H17" s="570">
        <f>I51</f>
        <v>0</v>
      </c>
      <c r="I17" s="571">
        <f>G51+F51</f>
        <v>0</v>
      </c>
      <c r="J17" s="571">
        <f>H51+D51+C51</f>
        <v>146.72268907563023</v>
      </c>
      <c r="K17" s="571"/>
      <c r="L17" s="571"/>
      <c r="M17" s="571"/>
      <c r="N17" s="1029"/>
      <c r="O17" s="573">
        <f>C17*$C$22+E17*$E$22+H17*$H$22+I17*$I$22+J17*$J$22+D17*$D$22+F17*$F$22+G17*$G$22+K17*$K$22+L17*$L$22</f>
        <v>2138.8235294117649</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9124.7142857142862</v>
      </c>
      <c r="C20" s="557">
        <f>SUM(C17:C19)</f>
        <v>10588.235294117647</v>
      </c>
      <c r="D20" s="557">
        <f t="shared" ref="D20:L20" si="1">SUM(D17:D19)</f>
        <v>0</v>
      </c>
      <c r="E20" s="557">
        <f t="shared" si="1"/>
        <v>0</v>
      </c>
      <c r="F20" s="557">
        <f t="shared" si="1"/>
        <v>0</v>
      </c>
      <c r="G20" s="557">
        <f t="shared" si="1"/>
        <v>0</v>
      </c>
      <c r="H20" s="557">
        <f t="shared" si="1"/>
        <v>0</v>
      </c>
      <c r="I20" s="557">
        <f t="shared" si="1"/>
        <v>0</v>
      </c>
      <c r="J20" s="557">
        <f t="shared" si="1"/>
        <v>146.72268907563023</v>
      </c>
      <c r="K20" s="557">
        <f t="shared" si="1"/>
        <v>0</v>
      </c>
      <c r="L20" s="557">
        <f t="shared" si="1"/>
        <v>0</v>
      </c>
      <c r="M20" s="557"/>
      <c r="N20" s="557"/>
      <c r="O20" s="576">
        <f>SUM(O17:O19)</f>
        <v>2138.8235294117649</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43002</v>
      </c>
      <c r="C28" s="771">
        <v>9960</v>
      </c>
      <c r="D28" s="628" t="s">
        <v>913</v>
      </c>
      <c r="E28" s="627" t="s">
        <v>914</v>
      </c>
      <c r="F28" s="627" t="s">
        <v>915</v>
      </c>
      <c r="G28" s="627" t="s">
        <v>916</v>
      </c>
      <c r="H28" s="627" t="s">
        <v>917</v>
      </c>
      <c r="I28" s="627" t="s">
        <v>914</v>
      </c>
      <c r="J28" s="770">
        <v>39604</v>
      </c>
      <c r="K28" s="770">
        <v>39632</v>
      </c>
      <c r="L28" s="627" t="s">
        <v>918</v>
      </c>
      <c r="M28" s="627">
        <v>1400</v>
      </c>
      <c r="N28" s="627">
        <v>6300</v>
      </c>
      <c r="O28" s="627">
        <v>9000</v>
      </c>
      <c r="P28" s="627">
        <v>18000</v>
      </c>
      <c r="Q28" s="627">
        <v>0</v>
      </c>
      <c r="R28" s="627">
        <v>0</v>
      </c>
      <c r="S28" s="627">
        <v>0</v>
      </c>
      <c r="T28" s="627">
        <v>0</v>
      </c>
      <c r="U28" s="627">
        <v>0</v>
      </c>
      <c r="V28" s="627">
        <v>0</v>
      </c>
      <c r="W28" s="627">
        <v>0</v>
      </c>
      <c r="X28" s="627">
        <v>10</v>
      </c>
      <c r="Y28" s="627" t="s">
        <v>111</v>
      </c>
      <c r="Z28" s="629" t="s">
        <v>111</v>
      </c>
    </row>
    <row r="29" spans="1:26" s="581" customFormat="1" ht="25.5">
      <c r="A29" s="580"/>
      <c r="B29" s="771">
        <v>43002</v>
      </c>
      <c r="C29" s="771">
        <v>9961</v>
      </c>
      <c r="D29" s="628" t="s">
        <v>919</v>
      </c>
      <c r="E29" s="627" t="s">
        <v>920</v>
      </c>
      <c r="F29" s="627" t="s">
        <v>921</v>
      </c>
      <c r="G29" s="627" t="s">
        <v>916</v>
      </c>
      <c r="H29" s="627" t="s">
        <v>917</v>
      </c>
      <c r="I29" s="627" t="s">
        <v>922</v>
      </c>
      <c r="J29" s="770">
        <v>41124</v>
      </c>
      <c r="K29" s="770">
        <v>41244</v>
      </c>
      <c r="L29" s="627" t="s">
        <v>918</v>
      </c>
      <c r="M29" s="627">
        <v>9.6999999999999993</v>
      </c>
      <c r="N29" s="627">
        <v>43.649999999999991</v>
      </c>
      <c r="O29" s="627">
        <v>62.357142857142847</v>
      </c>
      <c r="P29" s="627">
        <v>0</v>
      </c>
      <c r="Q29" s="627">
        <v>124.71428571428569</v>
      </c>
      <c r="R29" s="627">
        <v>0</v>
      </c>
      <c r="S29" s="627">
        <v>0</v>
      </c>
      <c r="T29" s="627">
        <v>0</v>
      </c>
      <c r="U29" s="627">
        <v>0</v>
      </c>
      <c r="V29" s="627">
        <v>0</v>
      </c>
      <c r="W29" s="627">
        <v>0</v>
      </c>
      <c r="X29" s="627">
        <v>10</v>
      </c>
      <c r="Y29" s="627" t="s">
        <v>111</v>
      </c>
      <c r="Z29" s="629" t="s">
        <v>111</v>
      </c>
    </row>
    <row r="30" spans="1:26" s="581" customFormat="1" ht="25.5">
      <c r="A30" s="580"/>
      <c r="B30" s="771">
        <v>43002</v>
      </c>
      <c r="C30" s="771">
        <v>9968</v>
      </c>
      <c r="D30" s="628" t="s">
        <v>923</v>
      </c>
      <c r="E30" s="627" t="s">
        <v>924</v>
      </c>
      <c r="F30" s="627" t="s">
        <v>925</v>
      </c>
      <c r="G30" s="627" t="s">
        <v>916</v>
      </c>
      <c r="H30" s="627" t="s">
        <v>917</v>
      </c>
      <c r="I30" s="627" t="s">
        <v>924</v>
      </c>
      <c r="J30" s="770">
        <v>41242</v>
      </c>
      <c r="K30" s="770">
        <v>41275</v>
      </c>
      <c r="L30" s="627" t="s">
        <v>918</v>
      </c>
      <c r="M30" s="627">
        <v>9.6999999999999993</v>
      </c>
      <c r="N30" s="627">
        <v>43.649999999999991</v>
      </c>
      <c r="O30" s="627">
        <v>62.357142857142847</v>
      </c>
      <c r="P30" s="627">
        <v>0</v>
      </c>
      <c r="Q30" s="627">
        <v>124.71428571428569</v>
      </c>
      <c r="R30" s="627">
        <v>0</v>
      </c>
      <c r="S30" s="627">
        <v>0</v>
      </c>
      <c r="T30" s="627">
        <v>0</v>
      </c>
      <c r="U30" s="627">
        <v>0</v>
      </c>
      <c r="V30" s="627">
        <v>0</v>
      </c>
      <c r="W30" s="627">
        <v>0</v>
      </c>
      <c r="X30" s="627">
        <v>10</v>
      </c>
      <c r="Y30" s="627" t="s">
        <v>111</v>
      </c>
      <c r="Z30" s="629" t="s">
        <v>111</v>
      </c>
    </row>
    <row r="31" spans="1:26" s="565" customFormat="1">
      <c r="A31" s="583" t="s">
        <v>279</v>
      </c>
      <c r="B31" s="584"/>
      <c r="C31" s="584"/>
      <c r="D31" s="584"/>
      <c r="E31" s="584"/>
      <c r="F31" s="584"/>
      <c r="G31" s="584"/>
      <c r="H31" s="584"/>
      <c r="I31" s="584"/>
      <c r="J31" s="584"/>
      <c r="K31" s="584"/>
      <c r="L31" s="585"/>
      <c r="M31" s="585">
        <f>SUM(M28:M30)</f>
        <v>1419.4</v>
      </c>
      <c r="N31" s="585">
        <f>SUM(N28:N30)</f>
        <v>6387.2999999999993</v>
      </c>
      <c r="O31" s="585">
        <f>SUM(O28:O30)</f>
        <v>9124.7142857142862</v>
      </c>
      <c r="P31" s="585">
        <f>SUM(P28:P30)</f>
        <v>18000</v>
      </c>
      <c r="Q31" s="585">
        <f>SUM(Q28:Q30)</f>
        <v>249.42857142857139</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0</v>
      </c>
      <c r="N33" s="585">
        <f ca="1">SUMIF($Z$28:AD30,"tertiair",N28:N30)</f>
        <v>0</v>
      </c>
      <c r="O33" s="585">
        <f ca="1">SUMIF($Z$28:AE30,"tertiair",O28:O30)</f>
        <v>0</v>
      </c>
      <c r="P33" s="585">
        <f ca="1">SUMIF($Z$28:AF30,"tertiair",P28:P30)</f>
        <v>0</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1419.4</v>
      </c>
      <c r="N34" s="590">
        <f>SUMIF($Z$28:$Z$30,"landbouw",N28:N30)</f>
        <v>6387.2999999999993</v>
      </c>
      <c r="O34" s="590">
        <f>SUMIF($Z$28:$Z$30,"landbouw",O28:O30)</f>
        <v>9124.7142857142862</v>
      </c>
      <c r="P34" s="590">
        <f>SUMIF($Z$28:$Z$30,"landbouw",P28:P30)</f>
        <v>18000</v>
      </c>
      <c r="Q34" s="590">
        <f>SUMIF($Z$28:$Z$30,"landbouw",Q28:Q30)</f>
        <v>249.42857142857139</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12.75">
      <c r="A37" s="582"/>
      <c r="B37" s="771"/>
      <c r="C37" s="771"/>
      <c r="D37" s="630"/>
      <c r="E37" s="630"/>
      <c r="F37" s="630"/>
      <c r="G37" s="630"/>
      <c r="H37" s="630"/>
      <c r="I37" s="630"/>
      <c r="J37" s="770"/>
      <c r="K37" s="770"/>
      <c r="L37" s="630"/>
      <c r="M37" s="630"/>
      <c r="N37" s="630"/>
      <c r="O37" s="630"/>
      <c r="P37" s="630"/>
      <c r="Q37" s="630"/>
      <c r="R37" s="630"/>
      <c r="S37" s="630"/>
      <c r="T37" s="630"/>
      <c r="U37" s="630"/>
      <c r="V37" s="630"/>
      <c r="W37" s="630"/>
      <c r="X37" s="630"/>
      <c r="Y37" s="630"/>
      <c r="Z37" s="631"/>
    </row>
    <row r="38" spans="1:27" s="565" customFormat="1">
      <c r="A38" s="583" t="s">
        <v>279</v>
      </c>
      <c r="B38" s="584"/>
      <c r="C38" s="584"/>
      <c r="D38" s="584"/>
      <c r="E38" s="584"/>
      <c r="F38" s="584"/>
      <c r="G38" s="584"/>
      <c r="H38" s="584"/>
      <c r="I38" s="584"/>
      <c r="J38" s="584"/>
      <c r="K38" s="584"/>
      <c r="L38" s="585"/>
      <c r="M38" s="585">
        <f>SUM(M37:M37)</f>
        <v>0</v>
      </c>
      <c r="N38" s="585">
        <f>SUM(N37:N37)</f>
        <v>0</v>
      </c>
      <c r="O38" s="585">
        <f>SUM(O37:O37)</f>
        <v>0</v>
      </c>
      <c r="P38" s="585">
        <f>SUM(P37:P37)</f>
        <v>0</v>
      </c>
      <c r="Q38" s="585">
        <f>SUM(Q37:Q37)</f>
        <v>0</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0</v>
      </c>
      <c r="N40" s="585">
        <f>SUMIF($Z$37:$Z$38,"tertiair",N37:N38)</f>
        <v>0</v>
      </c>
      <c r="O40" s="585">
        <f>SUMIF($Z$37:$Z$38,"tertiair",O37:O38)</f>
        <v>0</v>
      </c>
      <c r="P40" s="585">
        <f>SUMIF($Z$37:$Z$38,"tertiair",P37:P38)</f>
        <v>0</v>
      </c>
      <c r="Q40" s="585">
        <f>SUMIF($Z$37:$Z$38,"tertiair",Q37:Q38)</f>
        <v>0</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0.58823529411764708</v>
      </c>
      <c r="C47" s="610">
        <f>IF(ISERROR(N31/(O31+N31)),0,N31/(N31+O31))</f>
        <v>0.41176470588235292</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7411.7647058823522</v>
      </c>
      <c r="C50" s="619">
        <f t="shared" si="2"/>
        <v>102.70588235294116</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10588.235294117647</v>
      </c>
      <c r="C51" s="622">
        <f t="shared" si="3"/>
        <v>146.72268907563023</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28545.207414801123</v>
      </c>
      <c r="C4" s="452">
        <f>huishoudens!C8</f>
        <v>0</v>
      </c>
      <c r="D4" s="452">
        <f>huishoudens!D8</f>
        <v>33981.08521335759</v>
      </c>
      <c r="E4" s="452">
        <f>huishoudens!E8</f>
        <v>24484.243344155748</v>
      </c>
      <c r="F4" s="452">
        <f>huishoudens!F8</f>
        <v>34242.117375430549</v>
      </c>
      <c r="G4" s="452">
        <f>huishoudens!G8</f>
        <v>0</v>
      </c>
      <c r="H4" s="452">
        <f>huishoudens!H8</f>
        <v>0</v>
      </c>
      <c r="I4" s="452">
        <f>huishoudens!I8</f>
        <v>0</v>
      </c>
      <c r="J4" s="452">
        <f>huishoudens!J8</f>
        <v>5302.8780658400519</v>
      </c>
      <c r="K4" s="452">
        <f>huishoudens!K8</f>
        <v>0</v>
      </c>
      <c r="L4" s="452">
        <f>huishoudens!L8</f>
        <v>0</v>
      </c>
      <c r="M4" s="452">
        <f>huishoudens!M8</f>
        <v>0</v>
      </c>
      <c r="N4" s="452">
        <f>huishoudens!N8</f>
        <v>12902.575412790555</v>
      </c>
      <c r="O4" s="452">
        <f>huishoudens!O8</f>
        <v>272.02000000000004</v>
      </c>
      <c r="P4" s="453">
        <f>huishoudens!P8</f>
        <v>533.86666666666667</v>
      </c>
      <c r="Q4" s="454">
        <f>SUM(B4:P4)</f>
        <v>140263.99349304228</v>
      </c>
    </row>
    <row r="5" spans="1:17">
      <c r="A5" s="451" t="s">
        <v>155</v>
      </c>
      <c r="B5" s="452">
        <f ca="1">tertiair!B16</f>
        <v>8556.3762800000004</v>
      </c>
      <c r="C5" s="452">
        <f ca="1">tertiair!C16</f>
        <v>0</v>
      </c>
      <c r="D5" s="452">
        <f ca="1">tertiair!D16</f>
        <v>7797.4408470686412</v>
      </c>
      <c r="E5" s="452">
        <f>tertiair!E16</f>
        <v>92.640241388419213</v>
      </c>
      <c r="F5" s="452">
        <f ca="1">tertiair!F16</f>
        <v>1317.5869664647344</v>
      </c>
      <c r="G5" s="452">
        <f>tertiair!G16</f>
        <v>0</v>
      </c>
      <c r="H5" s="452">
        <f>tertiair!H16</f>
        <v>0</v>
      </c>
      <c r="I5" s="452">
        <f>tertiair!I16</f>
        <v>0</v>
      </c>
      <c r="J5" s="452">
        <f>tertiair!J16</f>
        <v>0</v>
      </c>
      <c r="K5" s="452">
        <f>tertiair!K16</f>
        <v>0</v>
      </c>
      <c r="L5" s="452">
        <f ca="1">tertiair!L16</f>
        <v>0</v>
      </c>
      <c r="M5" s="452">
        <f>tertiair!M16</f>
        <v>0</v>
      </c>
      <c r="N5" s="452">
        <f ca="1">tertiair!N16</f>
        <v>1069.3494647800726</v>
      </c>
      <c r="O5" s="452">
        <f>tertiair!O16</f>
        <v>3.1266666666666669</v>
      </c>
      <c r="P5" s="453">
        <f>tertiair!P16</f>
        <v>0</v>
      </c>
      <c r="Q5" s="451">
        <f t="shared" ref="Q5:Q14" ca="1" si="0">SUM(B5:P5)</f>
        <v>18836.520466368536</v>
      </c>
    </row>
    <row r="6" spans="1:17">
      <c r="A6" s="451" t="s">
        <v>193</v>
      </c>
      <c r="B6" s="452">
        <f>'openbare verlichting'!B8</f>
        <v>1044.5409999999999</v>
      </c>
      <c r="C6" s="452"/>
      <c r="D6" s="452"/>
      <c r="E6" s="452"/>
      <c r="F6" s="452"/>
      <c r="G6" s="452"/>
      <c r="H6" s="452"/>
      <c r="I6" s="452"/>
      <c r="J6" s="452"/>
      <c r="K6" s="452"/>
      <c r="L6" s="452"/>
      <c r="M6" s="452"/>
      <c r="N6" s="452"/>
      <c r="O6" s="452"/>
      <c r="P6" s="453"/>
      <c r="Q6" s="451">
        <f t="shared" si="0"/>
        <v>1044.5409999999999</v>
      </c>
    </row>
    <row r="7" spans="1:17">
      <c r="A7" s="451" t="s">
        <v>111</v>
      </c>
      <c r="B7" s="452">
        <f>landbouw!B8</f>
        <v>6477.7219999999998</v>
      </c>
      <c r="C7" s="452">
        <f>landbouw!C8</f>
        <v>9124.7142857142862</v>
      </c>
      <c r="D7" s="452">
        <f>landbouw!D8</f>
        <v>0</v>
      </c>
      <c r="E7" s="452">
        <f>landbouw!E8</f>
        <v>59.999374283368745</v>
      </c>
      <c r="F7" s="452">
        <f>landbouw!F8</f>
        <v>16435.214718774638</v>
      </c>
      <c r="G7" s="452">
        <f>landbouw!G8</f>
        <v>0</v>
      </c>
      <c r="H7" s="452">
        <f>landbouw!H8</f>
        <v>0</v>
      </c>
      <c r="I7" s="452">
        <f>landbouw!I8</f>
        <v>0</v>
      </c>
      <c r="J7" s="452">
        <f>landbouw!J8</f>
        <v>993.10707418850984</v>
      </c>
      <c r="K7" s="452">
        <f>landbouw!K8</f>
        <v>0</v>
      </c>
      <c r="L7" s="452">
        <f>landbouw!L8</f>
        <v>0</v>
      </c>
      <c r="M7" s="452">
        <f>landbouw!M8</f>
        <v>0</v>
      </c>
      <c r="N7" s="452">
        <f>landbouw!N8</f>
        <v>0</v>
      </c>
      <c r="O7" s="452">
        <f>landbouw!O8</f>
        <v>0</v>
      </c>
      <c r="P7" s="453">
        <f>landbouw!P8</f>
        <v>0</v>
      </c>
      <c r="Q7" s="451">
        <f t="shared" si="0"/>
        <v>33090.757452960803</v>
      </c>
    </row>
    <row r="8" spans="1:17">
      <c r="A8" s="451" t="s">
        <v>649</v>
      </c>
      <c r="B8" s="452">
        <f>industrie!B18</f>
        <v>3867.9746</v>
      </c>
      <c r="C8" s="452">
        <f>industrie!C18</f>
        <v>0</v>
      </c>
      <c r="D8" s="452">
        <f>industrie!D18</f>
        <v>3701.78553661875</v>
      </c>
      <c r="E8" s="452">
        <f>industrie!E18</f>
        <v>234.72908019766723</v>
      </c>
      <c r="F8" s="452">
        <f>industrie!F18</f>
        <v>1791.7605492844559</v>
      </c>
      <c r="G8" s="452">
        <f>industrie!G18</f>
        <v>0</v>
      </c>
      <c r="H8" s="452">
        <f>industrie!H18</f>
        <v>0</v>
      </c>
      <c r="I8" s="452">
        <f>industrie!I18</f>
        <v>0</v>
      </c>
      <c r="J8" s="452">
        <f>industrie!J18</f>
        <v>9.1130778887570933</v>
      </c>
      <c r="K8" s="452">
        <f>industrie!K18</f>
        <v>0</v>
      </c>
      <c r="L8" s="452">
        <f>industrie!L18</f>
        <v>0</v>
      </c>
      <c r="M8" s="452">
        <f>industrie!M18</f>
        <v>0</v>
      </c>
      <c r="N8" s="452">
        <f>industrie!N18</f>
        <v>274.35968874008358</v>
      </c>
      <c r="O8" s="452">
        <f>industrie!O18</f>
        <v>0</v>
      </c>
      <c r="P8" s="453">
        <f>industrie!P18</f>
        <v>0</v>
      </c>
      <c r="Q8" s="451">
        <f t="shared" si="0"/>
        <v>9879.7225327297128</v>
      </c>
    </row>
    <row r="9" spans="1:17" s="457" customFormat="1">
      <c r="A9" s="455" t="s">
        <v>570</v>
      </c>
      <c r="B9" s="456">
        <f>transport!B14</f>
        <v>15.480598285349762</v>
      </c>
      <c r="C9" s="456">
        <f>transport!C14</f>
        <v>0</v>
      </c>
      <c r="D9" s="456">
        <f>transport!D14</f>
        <v>31.564812411511042</v>
      </c>
      <c r="E9" s="456">
        <f>transport!E14</f>
        <v>300.03617048463474</v>
      </c>
      <c r="F9" s="456">
        <f>transport!F14</f>
        <v>0</v>
      </c>
      <c r="G9" s="456">
        <f>transport!G14</f>
        <v>99007.685011992973</v>
      </c>
      <c r="H9" s="456">
        <f>transport!H14</f>
        <v>19099.850765618205</v>
      </c>
      <c r="I9" s="456">
        <f>transport!I14</f>
        <v>0</v>
      </c>
      <c r="J9" s="456">
        <f>transport!J14</f>
        <v>0</v>
      </c>
      <c r="K9" s="456">
        <f>transport!K14</f>
        <v>0</v>
      </c>
      <c r="L9" s="456">
        <f>transport!L14</f>
        <v>0</v>
      </c>
      <c r="M9" s="456">
        <f>transport!M14</f>
        <v>6322.7837359577788</v>
      </c>
      <c r="N9" s="456">
        <f>transport!N14</f>
        <v>0</v>
      </c>
      <c r="O9" s="456">
        <f>transport!O14</f>
        <v>0</v>
      </c>
      <c r="P9" s="456">
        <f>transport!P14</f>
        <v>0</v>
      </c>
      <c r="Q9" s="455">
        <f>SUM(B9:P9)</f>
        <v>124777.40109475046</v>
      </c>
    </row>
    <row r="10" spans="1:17">
      <c r="A10" s="451" t="s">
        <v>560</v>
      </c>
      <c r="B10" s="452">
        <f>transport!B54</f>
        <v>0</v>
      </c>
      <c r="C10" s="452">
        <f>transport!C54</f>
        <v>0</v>
      </c>
      <c r="D10" s="452">
        <f>transport!D54</f>
        <v>0</v>
      </c>
      <c r="E10" s="452">
        <f>transport!E54</f>
        <v>0</v>
      </c>
      <c r="F10" s="452">
        <f>transport!F54</f>
        <v>0</v>
      </c>
      <c r="G10" s="452">
        <f>transport!G54</f>
        <v>1416.7988697925753</v>
      </c>
      <c r="H10" s="452">
        <f>transport!H54</f>
        <v>0</v>
      </c>
      <c r="I10" s="452">
        <f>transport!I54</f>
        <v>0</v>
      </c>
      <c r="J10" s="452">
        <f>transport!J54</f>
        <v>0</v>
      </c>
      <c r="K10" s="452">
        <f>transport!K54</f>
        <v>0</v>
      </c>
      <c r="L10" s="452">
        <f>transport!L54</f>
        <v>0</v>
      </c>
      <c r="M10" s="452">
        <f>transport!M54</f>
        <v>80.979911075446026</v>
      </c>
      <c r="N10" s="452">
        <f>transport!N54</f>
        <v>0</v>
      </c>
      <c r="O10" s="452">
        <f>transport!O54</f>
        <v>0</v>
      </c>
      <c r="P10" s="453">
        <f>transport!P54</f>
        <v>0</v>
      </c>
      <c r="Q10" s="451">
        <f t="shared" si="0"/>
        <v>1497.7787808680214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852.79240000000004</v>
      </c>
      <c r="C14" s="459"/>
      <c r="D14" s="459">
        <f>'SEAP template'!E25</f>
        <v>1948.2231339914401</v>
      </c>
      <c r="E14" s="459"/>
      <c r="F14" s="459"/>
      <c r="G14" s="459"/>
      <c r="H14" s="459"/>
      <c r="I14" s="459"/>
      <c r="J14" s="459"/>
      <c r="K14" s="459"/>
      <c r="L14" s="459"/>
      <c r="M14" s="459"/>
      <c r="N14" s="459"/>
      <c r="O14" s="459"/>
      <c r="P14" s="460"/>
      <c r="Q14" s="451">
        <f t="shared" si="0"/>
        <v>2801.01553399144</v>
      </c>
    </row>
    <row r="15" spans="1:17" s="461" customFormat="1">
      <c r="A15" s="1017" t="s">
        <v>564</v>
      </c>
      <c r="B15" s="957">
        <f ca="1">SUM(B4:B14)</f>
        <v>49360.094293086477</v>
      </c>
      <c r="C15" s="957">
        <f t="shared" ref="C15:Q15" ca="1" si="1">SUM(C4:C14)</f>
        <v>9124.7142857142862</v>
      </c>
      <c r="D15" s="957">
        <f t="shared" ca="1" si="1"/>
        <v>47460.099543447934</v>
      </c>
      <c r="E15" s="957">
        <f t="shared" si="1"/>
        <v>25171.64821050984</v>
      </c>
      <c r="F15" s="957">
        <f t="shared" ca="1" si="1"/>
        <v>53786.679609954372</v>
      </c>
      <c r="G15" s="957">
        <f t="shared" si="1"/>
        <v>100424.48388178555</v>
      </c>
      <c r="H15" s="957">
        <f t="shared" si="1"/>
        <v>19099.850765618205</v>
      </c>
      <c r="I15" s="957">
        <f t="shared" si="1"/>
        <v>0</v>
      </c>
      <c r="J15" s="957">
        <f t="shared" si="1"/>
        <v>6305.0982179173188</v>
      </c>
      <c r="K15" s="957">
        <f t="shared" si="1"/>
        <v>0</v>
      </c>
      <c r="L15" s="957">
        <f t="shared" ca="1" si="1"/>
        <v>0</v>
      </c>
      <c r="M15" s="957">
        <f t="shared" si="1"/>
        <v>6403.7636470332245</v>
      </c>
      <c r="N15" s="957">
        <f t="shared" ca="1" si="1"/>
        <v>14246.284566310711</v>
      </c>
      <c r="O15" s="957">
        <f t="shared" si="1"/>
        <v>275.1466666666667</v>
      </c>
      <c r="P15" s="957">
        <f t="shared" si="1"/>
        <v>533.86666666666667</v>
      </c>
      <c r="Q15" s="957">
        <f t="shared" ca="1" si="1"/>
        <v>332191.73035471124</v>
      </c>
    </row>
    <row r="17" spans="1:17">
      <c r="A17" s="462" t="s">
        <v>565</v>
      </c>
      <c r="B17" s="761">
        <f ca="1">huishoudens!B10</f>
        <v>0.20055443765433073</v>
      </c>
      <c r="C17" s="761">
        <f ca="1">huishoudens!C10</f>
        <v>0.23439895896360519</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5724.8680208016713</v>
      </c>
      <c r="C22" s="452">
        <f t="shared" ref="C22:C32" ca="1" si="3">C4*$C$17</f>
        <v>0</v>
      </c>
      <c r="D22" s="452">
        <f t="shared" ref="D22:D32" si="4">D4*$D$17</f>
        <v>6864.179213098234</v>
      </c>
      <c r="E22" s="452">
        <f t="shared" ref="E22:E32" si="5">E4*$E$17</f>
        <v>5557.9232391233545</v>
      </c>
      <c r="F22" s="452">
        <f t="shared" ref="F22:F32" si="6">F4*$F$17</f>
        <v>9142.6453392399562</v>
      </c>
      <c r="G22" s="452">
        <f t="shared" ref="G22:G32" si="7">G4*$G$17</f>
        <v>0</v>
      </c>
      <c r="H22" s="452">
        <f t="shared" ref="H22:H32" si="8">H4*$H$17</f>
        <v>0</v>
      </c>
      <c r="I22" s="452">
        <f t="shared" ref="I22:I32" si="9">I4*$I$17</f>
        <v>0</v>
      </c>
      <c r="J22" s="452">
        <f t="shared" ref="J22:J32" si="10">J4*$J$17</f>
        <v>1877.2188353073782</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29166.834647570598</v>
      </c>
    </row>
    <row r="23" spans="1:17">
      <c r="A23" s="451" t="s">
        <v>155</v>
      </c>
      <c r="B23" s="452">
        <f t="shared" ca="1" si="2"/>
        <v>1716.0192331942544</v>
      </c>
      <c r="C23" s="452">
        <f t="shared" ca="1" si="3"/>
        <v>0</v>
      </c>
      <c r="D23" s="452">
        <f t="shared" ca="1" si="4"/>
        <v>1575.0830511078657</v>
      </c>
      <c r="E23" s="452">
        <f t="shared" si="5"/>
        <v>21.029334795171163</v>
      </c>
      <c r="F23" s="452">
        <f t="shared" ca="1" si="6"/>
        <v>351.79572004608411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3663.9273391433753</v>
      </c>
    </row>
    <row r="24" spans="1:17">
      <c r="A24" s="451" t="s">
        <v>193</v>
      </c>
      <c r="B24" s="452">
        <f t="shared" ca="1" si="2"/>
        <v>209.48733286189227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209.48733286189227</v>
      </c>
    </row>
    <row r="25" spans="1:17">
      <c r="A25" s="451" t="s">
        <v>111</v>
      </c>
      <c r="B25" s="452">
        <f t="shared" ca="1" si="2"/>
        <v>1299.1358929910866</v>
      </c>
      <c r="C25" s="452">
        <f t="shared" ca="1" si="3"/>
        <v>2138.8235294117649</v>
      </c>
      <c r="D25" s="452">
        <f t="shared" si="4"/>
        <v>0</v>
      </c>
      <c r="E25" s="452">
        <f t="shared" si="5"/>
        <v>13.619857962324705</v>
      </c>
      <c r="F25" s="452">
        <f t="shared" si="6"/>
        <v>4388.2023299128286</v>
      </c>
      <c r="G25" s="452">
        <f t="shared" si="7"/>
        <v>0</v>
      </c>
      <c r="H25" s="452">
        <f t="shared" si="8"/>
        <v>0</v>
      </c>
      <c r="I25" s="452">
        <f t="shared" si="9"/>
        <v>0</v>
      </c>
      <c r="J25" s="452">
        <f t="shared" si="10"/>
        <v>351.55990426273246</v>
      </c>
      <c r="K25" s="452">
        <f t="shared" si="11"/>
        <v>0</v>
      </c>
      <c r="L25" s="452">
        <f t="shared" si="12"/>
        <v>0</v>
      </c>
      <c r="M25" s="452">
        <f t="shared" si="13"/>
        <v>0</v>
      </c>
      <c r="N25" s="452">
        <f t="shared" si="14"/>
        <v>0</v>
      </c>
      <c r="O25" s="452">
        <f t="shared" si="15"/>
        <v>0</v>
      </c>
      <c r="P25" s="453">
        <f t="shared" si="16"/>
        <v>0</v>
      </c>
      <c r="Q25" s="451">
        <f t="shared" ca="1" si="17"/>
        <v>8191.341514540738</v>
      </c>
    </row>
    <row r="26" spans="1:17">
      <c r="A26" s="451" t="s">
        <v>649</v>
      </c>
      <c r="B26" s="452">
        <f t="shared" ca="1" si="2"/>
        <v>775.73947076423485</v>
      </c>
      <c r="C26" s="452">
        <f t="shared" ca="1" si="3"/>
        <v>0</v>
      </c>
      <c r="D26" s="452">
        <f t="shared" si="4"/>
        <v>747.7606783969876</v>
      </c>
      <c r="E26" s="452">
        <f t="shared" si="5"/>
        <v>53.283501204870461</v>
      </c>
      <c r="F26" s="452">
        <f t="shared" si="6"/>
        <v>478.40006665894975</v>
      </c>
      <c r="G26" s="452">
        <f t="shared" si="7"/>
        <v>0</v>
      </c>
      <c r="H26" s="452">
        <f t="shared" si="8"/>
        <v>0</v>
      </c>
      <c r="I26" s="452">
        <f t="shared" si="9"/>
        <v>0</v>
      </c>
      <c r="J26" s="452">
        <f t="shared" si="10"/>
        <v>3.226029572620011</v>
      </c>
      <c r="K26" s="452">
        <f t="shared" si="11"/>
        <v>0</v>
      </c>
      <c r="L26" s="452">
        <f t="shared" si="12"/>
        <v>0</v>
      </c>
      <c r="M26" s="452">
        <f t="shared" si="13"/>
        <v>0</v>
      </c>
      <c r="N26" s="452">
        <f t="shared" si="14"/>
        <v>0</v>
      </c>
      <c r="O26" s="452">
        <f t="shared" si="15"/>
        <v>0</v>
      </c>
      <c r="P26" s="453">
        <f t="shared" si="16"/>
        <v>0</v>
      </c>
      <c r="Q26" s="451">
        <f t="shared" ca="1" si="17"/>
        <v>2058.4097465976629</v>
      </c>
    </row>
    <row r="27" spans="1:17" s="457" customFormat="1">
      <c r="A27" s="455" t="s">
        <v>570</v>
      </c>
      <c r="B27" s="755">
        <f t="shared" ca="1" si="2"/>
        <v>3.1047026836709182</v>
      </c>
      <c r="C27" s="456">
        <f t="shared" ca="1" si="3"/>
        <v>0</v>
      </c>
      <c r="D27" s="456">
        <f t="shared" si="4"/>
        <v>6.3760921071252312</v>
      </c>
      <c r="E27" s="456">
        <f t="shared" si="5"/>
        <v>68.108210700012094</v>
      </c>
      <c r="F27" s="456">
        <f t="shared" si="6"/>
        <v>0</v>
      </c>
      <c r="G27" s="456">
        <f t="shared" si="7"/>
        <v>26435.051898202124</v>
      </c>
      <c r="H27" s="456">
        <f t="shared" si="8"/>
        <v>4755.8628406389325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31268.503744331865</v>
      </c>
    </row>
    <row r="28" spans="1:17">
      <c r="A28" s="451" t="s">
        <v>560</v>
      </c>
      <c r="B28" s="452">
        <f t="shared" ca="1" si="2"/>
        <v>0</v>
      </c>
      <c r="C28" s="452">
        <f t="shared" ca="1" si="3"/>
        <v>0</v>
      </c>
      <c r="D28" s="452">
        <f t="shared" si="4"/>
        <v>0</v>
      </c>
      <c r="E28" s="452">
        <f t="shared" si="5"/>
        <v>0</v>
      </c>
      <c r="F28" s="452">
        <f t="shared" si="6"/>
        <v>0</v>
      </c>
      <c r="G28" s="452">
        <f t="shared" si="7"/>
        <v>378.28529823461764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378.28529823461764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171.03130021788709</v>
      </c>
      <c r="C32" s="452">
        <f t="shared" ca="1" si="3"/>
        <v>0</v>
      </c>
      <c r="D32" s="452">
        <f t="shared" si="4"/>
        <v>393.54107306627094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564.57237328415806</v>
      </c>
    </row>
    <row r="33" spans="1:17" s="461" customFormat="1">
      <c r="A33" s="1017" t="s">
        <v>564</v>
      </c>
      <c r="B33" s="957">
        <f ca="1">SUM(B22:B32)</f>
        <v>9899.3859535146967</v>
      </c>
      <c r="C33" s="957">
        <f t="shared" ref="C33:Q33" ca="1" si="18">SUM(C22:C32)</f>
        <v>2138.8235294117649</v>
      </c>
      <c r="D33" s="957">
        <f t="shared" ca="1" si="18"/>
        <v>9586.9401077764833</v>
      </c>
      <c r="E33" s="957">
        <f t="shared" si="18"/>
        <v>5713.9641437857335</v>
      </c>
      <c r="F33" s="957">
        <f t="shared" ca="1" si="18"/>
        <v>14361.043455857818</v>
      </c>
      <c r="G33" s="957">
        <f t="shared" si="18"/>
        <v>26813.337196436743</v>
      </c>
      <c r="H33" s="957">
        <f t="shared" si="18"/>
        <v>4755.8628406389325</v>
      </c>
      <c r="I33" s="957">
        <f t="shared" si="18"/>
        <v>0</v>
      </c>
      <c r="J33" s="957">
        <f t="shared" si="18"/>
        <v>2232.0047691427308</v>
      </c>
      <c r="K33" s="957">
        <f t="shared" si="18"/>
        <v>0</v>
      </c>
      <c r="L33" s="957">
        <f t="shared" ca="1" si="18"/>
        <v>0</v>
      </c>
      <c r="M33" s="957">
        <f t="shared" si="18"/>
        <v>0</v>
      </c>
      <c r="N33" s="957">
        <f t="shared" ca="1" si="18"/>
        <v>0</v>
      </c>
      <c r="O33" s="957">
        <f t="shared" si="18"/>
        <v>0</v>
      </c>
      <c r="P33" s="957">
        <f t="shared" si="18"/>
        <v>0</v>
      </c>
      <c r="Q33" s="957">
        <f t="shared" ca="1" si="18"/>
        <v>75501.361996564927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4953.7468590300869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87.299999999999983</v>
      </c>
      <c r="C8" s="1034">
        <f>'SEAP template'!C76</f>
        <v>6299.9999999999991</v>
      </c>
      <c r="D8" s="1034">
        <f>'SEAP template'!D76</f>
        <v>7411.7647058823522</v>
      </c>
      <c r="E8" s="1034">
        <f>'SEAP template'!E76</f>
        <v>0</v>
      </c>
      <c r="F8" s="1034">
        <f>'SEAP template'!F76</f>
        <v>0</v>
      </c>
      <c r="G8" s="1034">
        <f>'SEAP template'!G76</f>
        <v>0</v>
      </c>
      <c r="H8" s="1034">
        <f>'SEAP template'!H76</f>
        <v>0</v>
      </c>
      <c r="I8" s="1034">
        <f>'SEAP template'!I76</f>
        <v>0</v>
      </c>
      <c r="J8" s="1034">
        <f>'SEAP template'!J76</f>
        <v>102.70588235294116</v>
      </c>
      <c r="K8" s="1034">
        <f>'SEAP template'!K76</f>
        <v>0</v>
      </c>
      <c r="L8" s="1034">
        <f>'SEAP template'!L76</f>
        <v>0</v>
      </c>
      <c r="M8" s="1034">
        <f>'SEAP template'!M76</f>
        <v>0</v>
      </c>
      <c r="N8" s="1034">
        <f>'SEAP template'!N76</f>
        <v>0</v>
      </c>
      <c r="O8" s="1034">
        <f>'SEAP template'!O76</f>
        <v>0</v>
      </c>
      <c r="P8" s="1035">
        <f>'SEAP template'!Q76</f>
        <v>1497.1764705882354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5041.046859030087</v>
      </c>
      <c r="C10" s="1038">
        <f>SUM(C4:C9)</f>
        <v>6299.9999999999991</v>
      </c>
      <c r="D10" s="1038">
        <f t="shared" ref="D10:H10" si="0">SUM(D8:D9)</f>
        <v>7411.7647058823522</v>
      </c>
      <c r="E10" s="1038">
        <f t="shared" si="0"/>
        <v>0</v>
      </c>
      <c r="F10" s="1038">
        <f t="shared" si="0"/>
        <v>0</v>
      </c>
      <c r="G10" s="1038">
        <f t="shared" si="0"/>
        <v>0</v>
      </c>
      <c r="H10" s="1038">
        <f t="shared" si="0"/>
        <v>0</v>
      </c>
      <c r="I10" s="1038">
        <f>SUM(I8:I9)</f>
        <v>0</v>
      </c>
      <c r="J10" s="1038">
        <f>SUM(J8:J9)</f>
        <v>102.70588235294116</v>
      </c>
      <c r="K10" s="1038">
        <f t="shared" ref="K10:L10" si="1">SUM(K8:K9)</f>
        <v>0</v>
      </c>
      <c r="L10" s="1038">
        <f t="shared" si="1"/>
        <v>0</v>
      </c>
      <c r="M10" s="1038">
        <f>SUM(M8:M9)</f>
        <v>0</v>
      </c>
      <c r="N10" s="1038">
        <f>SUM(N8:N9)</f>
        <v>0</v>
      </c>
      <c r="O10" s="1038">
        <f>SUM(O8:O9)</f>
        <v>0</v>
      </c>
      <c r="P10" s="1038">
        <f>SUM(P8:P9)</f>
        <v>1497.1764705882354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0.20055443765433073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124.71428571428569</v>
      </c>
      <c r="C17" s="1040">
        <f>'SEAP template'!C87</f>
        <v>9000</v>
      </c>
      <c r="D17" s="1035">
        <f>'SEAP template'!D87</f>
        <v>10588.235294117647</v>
      </c>
      <c r="E17" s="1035">
        <f>'SEAP template'!E87</f>
        <v>0</v>
      </c>
      <c r="F17" s="1035">
        <f>'SEAP template'!F87</f>
        <v>0</v>
      </c>
      <c r="G17" s="1035">
        <f>'SEAP template'!G87</f>
        <v>0</v>
      </c>
      <c r="H17" s="1035">
        <f>'SEAP template'!H87</f>
        <v>0</v>
      </c>
      <c r="I17" s="1035">
        <f>'SEAP template'!I87</f>
        <v>0</v>
      </c>
      <c r="J17" s="1035">
        <f>'SEAP template'!J87</f>
        <v>146.72268907563023</v>
      </c>
      <c r="K17" s="1035">
        <f>'SEAP template'!K87</f>
        <v>0</v>
      </c>
      <c r="L17" s="1035">
        <f>'SEAP template'!L87</f>
        <v>0</v>
      </c>
      <c r="M17" s="1035">
        <f>'SEAP template'!M87</f>
        <v>0</v>
      </c>
      <c r="N17" s="1035">
        <f>'SEAP template'!N87</f>
        <v>0</v>
      </c>
      <c r="O17" s="1035">
        <f>'SEAP template'!O87</f>
        <v>0</v>
      </c>
      <c r="P17" s="1035">
        <f>'SEAP template'!Q87</f>
        <v>2138.8235294117649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124.71428571428569</v>
      </c>
      <c r="C20" s="1038">
        <f>SUM(C17:C19)</f>
        <v>9000</v>
      </c>
      <c r="D20" s="1038">
        <f t="shared" ref="D20:H20" si="2">SUM(D17:D19)</f>
        <v>10588.235294117647</v>
      </c>
      <c r="E20" s="1038">
        <f t="shared" si="2"/>
        <v>0</v>
      </c>
      <c r="F20" s="1038">
        <f t="shared" si="2"/>
        <v>0</v>
      </c>
      <c r="G20" s="1038">
        <f t="shared" si="2"/>
        <v>0</v>
      </c>
      <c r="H20" s="1038">
        <f t="shared" si="2"/>
        <v>0</v>
      </c>
      <c r="I20" s="1038">
        <f>SUM(I17:I19)</f>
        <v>0</v>
      </c>
      <c r="J20" s="1038">
        <f>SUM(J17:J19)</f>
        <v>146.72268907563023</v>
      </c>
      <c r="K20" s="1038">
        <f t="shared" ref="K20:L20" si="3">SUM(K17:K19)</f>
        <v>0</v>
      </c>
      <c r="L20" s="1038">
        <f t="shared" si="3"/>
        <v>0</v>
      </c>
      <c r="M20" s="1038">
        <f>SUM(M17:M19)</f>
        <v>0</v>
      </c>
      <c r="N20" s="1038">
        <f>SUM(N17:N19)</f>
        <v>0</v>
      </c>
      <c r="O20" s="1038">
        <f>SUM(O17:O19)</f>
        <v>0</v>
      </c>
      <c r="P20" s="1038">
        <f>SUM(P17:P19)</f>
        <v>2138.8235294117649</v>
      </c>
    </row>
    <row r="22" spans="1:16">
      <c r="A22" s="462" t="s">
        <v>873</v>
      </c>
      <c r="B22" s="761" t="s">
        <v>867</v>
      </c>
      <c r="C22" s="761">
        <f ca="1">'EF ele_warmte'!B22</f>
        <v>0.23439895896360519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0.20055443765433073</v>
      </c>
      <c r="C17" s="499">
        <f ca="1">'EF ele_warmte'!B22</f>
        <v>0.23439895896360519</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2020-06-20T16:09:41Z</dcterms:modified>
</cp:coreProperties>
</file>