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E9" i="18" s="1"/>
  <c r="R37" i="18"/>
  <c r="Q37" i="18"/>
  <c r="P37" i="18"/>
  <c r="C9" i="18" s="1"/>
  <c r="O37" i="18"/>
  <c r="N37" i="18"/>
  <c r="B9" i="18" s="1"/>
  <c r="M37" i="18"/>
  <c r="W33" i="18"/>
  <c r="V33" i="18"/>
  <c r="U33" i="18"/>
  <c r="T33" i="18"/>
  <c r="S33" i="18"/>
  <c r="F6" i="17" s="1"/>
  <c r="R33" i="18"/>
  <c r="Q33" i="18"/>
  <c r="P33" i="18"/>
  <c r="D6" i="17" s="1"/>
  <c r="O33" i="18"/>
  <c r="N33" i="18"/>
  <c r="M33" i="18"/>
  <c r="W32" i="18"/>
  <c r="V32" i="18"/>
  <c r="U32" i="18"/>
  <c r="T32" i="18"/>
  <c r="S32" i="18"/>
  <c r="F13" i="15" s="1"/>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K10" i="59" l="1"/>
  <c r="D14" i="48"/>
  <c r="D32" i="48" s="1"/>
  <c r="C13" i="15"/>
  <c r="D13" i="15"/>
  <c r="L6" i="17"/>
  <c r="F20" i="18"/>
  <c r="I9" i="18"/>
  <c r="I77" i="14" s="1"/>
  <c r="I9" i="59" s="1"/>
  <c r="N6" i="17"/>
  <c r="E10" i="59"/>
  <c r="B46" i="18"/>
  <c r="C50" i="18" s="1"/>
  <c r="C6" i="17"/>
  <c r="J9" i="18"/>
  <c r="J77" i="14" s="1"/>
  <c r="J9" i="59" s="1"/>
  <c r="K20" i="18"/>
  <c r="L10" i="59"/>
  <c r="B16" i="16"/>
  <c r="C46" i="18"/>
  <c r="E49"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50"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50" i="18"/>
  <c r="H50" i="18"/>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J17" i="18"/>
  <c r="J87" i="14" s="1"/>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O4" i="48"/>
  <c r="O22" i="48" s="1"/>
  <c r="P11" i="14"/>
  <c r="B4" i="48"/>
  <c r="C11" i="14"/>
  <c r="J15" i="16"/>
  <c r="C24" i="14"/>
  <c r="C26" i="14" s="1"/>
  <c r="B7" i="48"/>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E7" i="48" l="1"/>
  <c r="E25" i="48" s="1"/>
  <c r="F24" i="14"/>
  <c r="F26" i="14" s="1"/>
  <c r="O22" i="16"/>
  <c r="P43" i="14" s="1"/>
  <c r="O8" i="48"/>
  <c r="O26" i="48" s="1"/>
  <c r="P13" i="14"/>
  <c r="Q46" i="14"/>
  <c r="Q61" i="14" s="1"/>
  <c r="Q63" i="14"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O33" i="48"/>
  <c r="N22" i="14"/>
  <c r="N27" i="14" s="1"/>
  <c r="F10" i="14"/>
  <c r="E5" i="48"/>
  <c r="E23" i="48" s="1"/>
  <c r="N52" i="14"/>
  <c r="N61"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N63" i="14" l="1"/>
  <c r="E8" i="48"/>
  <c r="E26" i="48" s="1"/>
  <c r="E33" i="48" s="1"/>
  <c r="F13" i="14"/>
  <c r="F16" i="14" s="1"/>
  <c r="F27" i="14" s="1"/>
  <c r="F63" i="14" s="1"/>
  <c r="J22" i="16"/>
  <c r="K43" i="14" s="1"/>
  <c r="K46" i="14" s="1"/>
  <c r="K61" i="14" s="1"/>
  <c r="K63" i="14" s="1"/>
  <c r="K13" i="14"/>
  <c r="K16" i="14" s="1"/>
  <c r="K27" i="14" s="1"/>
  <c r="J8" i="48"/>
  <c r="G33" i="48"/>
  <c r="I22" i="14"/>
  <c r="I27" i="14" s="1"/>
  <c r="I63" i="14" s="1"/>
  <c r="R20" i="14"/>
  <c r="R22" i="14" s="1"/>
  <c r="H27" i="48"/>
  <c r="H33" i="48" s="1"/>
  <c r="H15" i="48"/>
  <c r="O13" i="14"/>
  <c r="N8" i="48"/>
  <c r="N26" i="48" s="1"/>
  <c r="F8" i="48"/>
  <c r="G13" i="14"/>
  <c r="E15"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<sst xmlns="http://schemas.openxmlformats.org/spreadsheetml/2006/main" count="2452" uniqueCount="923">
  <si>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</si>
  <si>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</si>
  <si>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</si>
  <si>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</si>
  <si>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</si>
  <si>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</si>
  <si>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</si>
  <si>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</si>
  <si>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</si>
  <si>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</si>
  <si>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</si>
  <si>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</si>
  <si>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</si>
  <si>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</si>
  <si>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</si>
  <si>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</si>
  <si>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</si>
  <si>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</si>
  <si>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</si>
  <si>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</si>
  <si>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</si>
  <si>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</si>
  <si>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</si>
  <si>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</si>
  <si>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</si>
  <si>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</si>
  <si>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</si>
  <si>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</si>
  <si>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</si>
  <si>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</si>
  <si>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</si>
  <si>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</si>
  <si>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</si>
  <si>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</si>
  <si>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</si>
  <si>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</si>
  <si>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</si>
  <si>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</si>
  <si>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</si>
  <si>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</si>
  <si>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</si>
  <si>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</si>
  <si>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</si>
  <si>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</si>
  <si>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</si>
  <si>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</si>
  <si>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</si>
  <si>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</si>
  <si>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</si>
  <si>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</si>
  <si>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</si>
  <si>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</si>
  <si>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</si>
  <si>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</si>
  <si>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</si>
  <si>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</si>
  <si>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</si>
  <si>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</si>
  <si>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</si>
  <si>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</si>
  <si>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</si>
  <si>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</si>
  <si>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</si>
  <si>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</si>
  <si>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</si>
  <si>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</si>
  <si>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</si>
  <si>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</si>
  <si>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</si>
  <si>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</si>
  <si>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</si>
  <si>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</si>
  <si>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</si>
  <si>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</si>
  <si>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</si>
  <si>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</si>
  <si>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</si>
  <si>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</si>
  <si>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</si>
  <si>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</si>
  <si>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</si>
  <si>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</si>
  <si>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</si>
  <si>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</si>
  <si>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</si>
  <si>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</si>
  <si>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</si>
  <si>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</si>
  <si>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</si>
  <si>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</si>
  <si>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</si>
  <si>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</si>
  <si>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</si>
  <si>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</si>
  <si>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</si>
  <si>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</si>
  <si>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</si>
  <si>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</si>
  <si>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</si>
  <si>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</si>
  <si>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</si>
  <si>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</si>
  <si>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</si>
  <si>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</si>
  <si>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</si>
  <si>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</si>
  <si>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</si>
  <si>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</si>
  <si>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</si>
  <si>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</si>
  <si>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</si>
  <si>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</si>
  <si>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</si>
  <si>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</si>
  <si>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</si>
  <si>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</si>
  <si>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</si>
  <si>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</si>
  <si>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</si>
  <si>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</si>
  <si>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</si>
  <si>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</si>
  <si>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</si>
  <si>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</si>
  <si>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</si>
  <si>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</si>
  <si>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</si>
  <si>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</si>
  <si>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</si>
  <si>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</si>
  <si>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</si>
  <si>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</si>
  <si>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</si>
  <si>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</si>
  <si>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</si>
  <si>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</si>
  <si>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</si>
  <si>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</si>
  <si>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</si>
  <si>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</si>
  <si>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</si>
  <si>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</si>
  <si>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</si>
  <si>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</si>
  <si>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</si>
  <si>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</si>
  <si>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</si>
  <si>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</si>
  <si>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</si>
  <si>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</si>
  <si>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</si>
  <si>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</si>
  <si>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</si>
  <si>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</si>
  <si>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</si>
  <si>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</si>
  <si>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</si>
  <si>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</si>
  <si>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</si>
  <si>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</si>
  <si>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</si>
  <si>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</si>
  <si>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</si>
  <si>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</si>
  <si>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</si>
  <si>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</si>
  <si>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</si>
  <si>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</si>
  <si>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</si>
  <si>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</si>
  <si>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</si>
  <si>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</si>
  <si>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</si>
  <si>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</si>
  <si>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</si>
  <si>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</si>
  <si>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</si>
  <si>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</si>
  <si>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</si>
  <si>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</si>
  <si>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</si>
  <si>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</si>
  <si>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</si>
  <si>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</si>
  <si>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</si>
  <si>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</si>
  <si>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</si>
  <si>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</si>
  <si>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</si>
  <si>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</si>
  <si>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</si>
  <si>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</si>
  <si>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</si>
  <si>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</si>
  <si>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</si>
  <si>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</si>
  <si>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</si>
  <si>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</si>
  <si>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</si>
  <si>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</si>
  <si>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</si>
  <si>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</si>
  <si>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</si>
  <si>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</si>
  <si>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</si>
  <si>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</si>
  <si>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</si>
  <si>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</si>
  <si>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</si>
  <si>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</si>
  <si>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</si>
  <si>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</si>
  <si>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</si>
  <si>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</si>
  <si>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</si>
  <si>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</si>
  <si>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</si>
  <si>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</si>
  <si>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</si>
  <si>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</si>
  <si>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</si>
  <si>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</si>
  <si>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</si>
  <si>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</si>
  <si>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</si>
  <si>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</si>
  <si>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</si>
  <si>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</si>
  <si>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</si>
  <si>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</si>
  <si>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</si>
  <si>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</si>
  <si>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</si>
  <si>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</si>
  <si>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</si>
  <si>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</si>
  <si>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</si>
  <si>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</si>
  <si>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</si>
  <si>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</si>
  <si>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</si>
  <si>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</si>
  <si>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</si>
  <si>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</si>
  <si>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</si>
  <si>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</si>
  <si>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</si>
  <si>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</si>
  <si>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</si>
  <si>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</si>
  <si>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</si>
  <si>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</si>
  <si>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</si>
  <si>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</si>
  <si>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</si>
  <si>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</si>
  <si>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</si>
  <si>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</si>
  <si>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</si>
  <si>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</si>
  <si>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</si>
  <si>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</si>
  <si>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</si>
  <si>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</si>
  <si>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</si>
  <si>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</si>
  <si>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</si>
  <si>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</si>
  <si>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</si>
  <si>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</si>
  <si>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</si>
  <si>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</si>
  <si>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</si>
  <si>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</si>
  <si>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</si>
  <si>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</si>
  <si>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</si>
  <si>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</si>
  <si>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</si>
  <si>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</si>
  <si>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</si>
  <si>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</si>
  <si>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</si>
  <si>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</si>
  <si>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</si>
  <si>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</si>
  <si>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</si>
  <si>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</si>
  <si>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</si>
  <si>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</si>
  <si>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</si>
  <si>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</si>
  <si>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</si>
  <si>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</si>
  <si>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</si>
  <si>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</si>
  <si>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</si>
  <si>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</si>
  <si>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</si>
  <si>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</si>
  <si>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</si>
  <si>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</si>
  <si>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</si>
  <si>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</si>
  <si>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</si>
  <si>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</si>
  <si>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</si>
  <si>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</si>
  <si>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</si>
  <si>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</si>
  <si>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</si>
  <si>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</si>
  <si>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</si>
  <si>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</si>
  <si>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</si>
  <si>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</si>
  <si>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</si>
  <si>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</si>
  <si>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</si>
  <si>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</si>
  <si>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</si>
  <si>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</si>
  <si>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</si>
  <si>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</si>
  <si>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</si>
  <si>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</si>
  <si>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</si>
  <si>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</si>
  <si>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</si>
  <si>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</si>
  <si>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</si>
  <si>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</si>
  <si>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</si>
  <si>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</si>
  <si>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</si>
  <si>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</si>
  <si>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</si>
  <si>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</si>
  <si>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</si>
  <si>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</si>
  <si>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</si>
  <si>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</si>
  <si>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</si>
  <si>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</si>
  <si>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</si>
  <si>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</si>
  <si>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</si>
  <si>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</si>
  <si>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</si>
  <si>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</si>
  <si>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</si>
  <si>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</si>
  <si>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</si>
  <si>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</si>
  <si>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</si>
  <si>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</si>
  <si>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</si>
  <si>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</si>
  <si>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</si>
  <si>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</si>
  <si>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</si>
  <si>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</si>
  <si>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</si>
  <si>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</si>
  <si>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</si>
  <si>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</si>
  <si>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</si>
  <si>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</si>
  <si>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</si>
  <si>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</si>
  <si>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</si>
  <si>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</si>
  <si>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</si>
  <si>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</si>
  <si>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</si>
  <si>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</si>
  <si>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</si>
  <si>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</si>
  <si>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</si>
  <si>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</si>
  <si>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</si>
  <si>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</si>
  <si>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</si>
  <si>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</si>
  <si>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</si>
  <si>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</si>
  <si>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</si>
  <si>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</si>
  <si>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</si>
  <si>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</si>
  <si>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</si>
  <si>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</si>
  <si>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</si>
  <si>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</si>
  <si>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</si>
  <si>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</si>
  <si>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</si>
  <si>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</si>
  <si>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</si>
  <si>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</si>
  <si>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</si>
  <si>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</si>
  <si>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</si>
  <si>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</si>
  <si>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</si>
  <si>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</si>
  <si>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</si>
  <si>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</si>
  <si>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</si>
  <si>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</si>
  <si>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</si>
  <si>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</si>
  <si>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</si>
  <si>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</si>
  <si>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</si>
  <si>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</si>
  <si>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</si>
  <si>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</si>
  <si>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</si>
  <si>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</si>
  <si>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</si>
  <si>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</si>
  <si>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</si>
  <si>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</si>
  <si>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</si>
  <si>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</si>
  <si>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</si>
  <si>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</si>
  <si>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</si>
  <si>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</si>
  <si>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</si>
  <si>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</si>
  <si>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</si>
  <si>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</si>
  <si>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</si>
  <si>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</si>
  <si>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</si>
  <si>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</si>
  <si>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</si>
  <si>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</si>
  <si>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</si>
  <si>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</si>
  <si>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</si>
  <si>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</si>
  <si>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</si>
  <si>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</si>
  <si>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</si>
  <si>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</si>
  <si>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</si>
  <si>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</si>
  <si>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</si>
  <si>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</si>
  <si>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</si>
  <si>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</si>
  <si>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</si>
  <si>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</si>
  <si>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</si>
  <si>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</si>
  <si>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</si>
  <si>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</si>
  <si>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</si>
  <si>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</si>
  <si>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</si>
  <si>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</si>
  <si>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</si>
  <si>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</si>
  <si>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</si>
  <si>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</si>
  <si>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</si>
  <si>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</si>
  <si>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</si>
  <si>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</si>
  <si>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</si>
  <si>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</si>
  <si>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</si>
  <si>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</si>
  <si>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</si>
  <si>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</si>
  <si>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</si>
  <si>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</si>
  <si>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</si>
  <si>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</si>
  <si>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</si>
  <si>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</si>
  <si>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</si>
  <si>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</si>
  <si>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</si>
  <si>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</si>
  <si>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</si>
  <si>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</si>
  <si>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</si>
  <si>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</si>
  <si>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</si>
  <si>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</si>
  <si>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</si>
  <si>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</si>
  <si>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</si>
  <si>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</si>
  <si>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</si>
  <si>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</si>
  <si>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</si>
  <si>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</si>
  <si>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</si>
  <si>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</si>
  <si>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</si>
  <si>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</si>
  <si>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</si>
  <si>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</si>
  <si>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</si>
  <si>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</si>
  <si>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</si>
  <si>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</si>
  <si>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</si>
  <si>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</si>
  <si>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</si>
  <si>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</si>
  <si>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</si>
  <si>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</si>
  <si>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</si>
  <si>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</si>
  <si>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</si>
  <si>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</si>
  <si>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</si>
  <si>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</si>
  <si>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</si>
  <si>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</si>
  <si>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</si>
  <si>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</si>
  <si>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</si>
  <si>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</si>
  <si>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</si>
  <si>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</si>
  <si>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</si>
  <si>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</si>
  <si>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</si>
  <si>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</si>
  <si>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</si>
  <si>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</si>
  <si>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</si>
  <si>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</si>
  <si>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</si>
  <si>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</si>
  <si>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</si>
  <si>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</si>
  <si>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</si>
  <si>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</si>
  <si>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</si>
  <si>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</si>
  <si>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</si>
  <si>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</si>
  <si>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</si>
  <si>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</si>
  <si>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</si>
  <si>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</si>
  <si>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</si>
  <si>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</si>
  <si>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</si>
  <si>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</si>
  <si>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</si>
  <si>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</si>
  <si>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</si>
  <si>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</si>
  <si>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</si>
  <si>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</si>
  <si>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</si>
  <si>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</si>
  <si>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</si>
  <si>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</si>
  <si>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</si>
  <si>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</si>
  <si>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</si>
  <si>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</si>
  <si>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</si>
  <si>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</si>
  <si>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</si>
  <si>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</si>
  <si>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</si>
  <si>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</si>
  <si>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</si>
  <si>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</si>
  <si>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</si>
  <si>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</si>
  <si>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</si>
  <si>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</si>
  <si>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</si>
  <si>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</si>
  <si>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</si>
  <si>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</si>
  <si>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</si>
  <si>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</si>
  <si>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</si>
  <si>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</si>
  <si>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</si>
  <si>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</si>
  <si>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</si>
  <si>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</si>
  <si>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</si>
  <si>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</si>
  <si>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</si>
  <si>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</si>
  <si>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</si>
  <si>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</si>
  <si>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</si>
  <si>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</si>
  <si>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</si>
  <si>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</si>
  <si>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</si>
  <si>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</si>
  <si>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</si>
  <si>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</si>
  <si>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</si>
  <si>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</si>
  <si>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</si>
  <si>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</si>
  <si>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</si>
  <si>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</si>
  <si>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</si>
  <si>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</si>
  <si>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</si>
  <si>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</si>
  <si>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</si>
  <si>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</si>
  <si>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</si>
  <si>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</si>
  <si>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</si>
  <si>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</si>
  <si>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</si>
  <si>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</si>
  <si>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</si>
  <si>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</si>
  <si>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</si>
  <si>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</si>
  <si>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</si>
  <si>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</si>
  <si>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</si>
  <si>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</si>
  <si>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</si>
  <si>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</si>
  <si>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</si>
  <si>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</si>
  <si>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</si>
  <si>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</si>
  <si>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</si>
  <si>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</si>
  <si>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</si>
  <si>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</si>
  <si>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</si>
  <si>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</si>
  <si>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</si>
  <si>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</si>
  <si>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</si>
  <si>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</si>
  <si>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</si>
  <si>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</si>
  <si>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</si>
  <si>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</si>
  <si>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</si>
  <si>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</si>
  <si>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</si>
  <si>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</si>
  <si>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</si>
  <si>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</si>
  <si>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</si>
  <si>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</si>
  <si>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</si>
  <si>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</si>
  <si>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</si>
  <si>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</si>
  <si>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</si>
  <si>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</si>
  <si>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</si>
  <si>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</si>
  <si>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</si>
  <si>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</si>
  <si>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</si>
  <si>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</si>
  <si>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</si>
  <si>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</si>
  <si>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</si>
  <si>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</si>
  <si>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</si>
  <si>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</si>
  <si>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</si>
  <si>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</si>
  <si>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</si>
  <si>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</si>
  <si>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</si>
  <si>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</si>
  <si>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</si>
  <si>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</si>
  <si>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</si>
  <si>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</si>
  <si>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</si>
  <si>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</si>
  <si>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</si>
  <si>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</si>
  <si>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</si>
  <si>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</si>
  <si>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</si>
  <si>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</si>
  <si>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</si>
  <si>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</si>
  <si>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</si>
  <si>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</si>
  <si>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</si>
  <si>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</si>
  <si>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</si>
  <si>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</si>
  <si>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</si>
  <si>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</si>
  <si>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</si>
  <si>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</si>
  <si>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</si>
  <si>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</si>
  <si>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</si>
  <si>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</si>
  <si>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</si>
  <si>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</si>
  <si>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</si>
  <si>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</si>
  <si>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</si>
  <si>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</si>
  <si>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</si>
  <si>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</si>
  <si>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</si>
  <si>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</si>
  <si>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</si>
  <si>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</si>
  <si>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</si>
  <si>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</si>
  <si>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</si>
  <si>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</si>
  <si>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</si>
  <si>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</si>
  <si>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</si>
  <si>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</si>
  <si>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</si>
  <si>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</si>
  <si>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</si>
  <si>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</si>
  <si>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</si>
  <si>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</si>
  <si>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</si>
  <si>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</si>
  <si>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</si>
  <si>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</si>
  <si>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</si>
  <si>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</si>
  <si>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</si>
  <si>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</si>
  <si>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</si>
  <si>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</si>
  <si>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</si>
  <si>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</si>
  <si>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</si>
  <si>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</si>
  <si>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</si>
  <si>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</si>
  <si>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</si>
  <si>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</si>
  <si>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</si>
  <si>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</si>
  <si>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</si>
  <si>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</si>
  <si>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</si>
  <si>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</si>
  <si>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</si>
  <si>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</si>
  <si>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</si>
  <si>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</si>
  <si>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</si>
  <si>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</si>
  <si>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</si>
  <si>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</si>
  <si>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</si>
  <si>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</si>
  <si>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</si>
  <si>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</si>
  <si>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</si>
  <si>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</si>
  <si>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</si>
  <si>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</si>
  <si>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</si>
  <si>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</si>
  <si>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</si>
  <si>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</si>
  <si>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</si>
  <si>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</si>
  <si>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</si>
  <si>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</si>
  <si>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</si>
  <si>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</si>
  <si>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</si>
  <si>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</si>
  <si>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</si>
  <si>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</si>
  <si>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</si>
  <si>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</si>
  <si>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</si>
  <si>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</si>
  <si>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</si>
  <si>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</si>
  <si>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</si>
  <si>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</si>
  <si>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</si>
  <si>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</si>
  <si>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</si>
  <si>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</si>
  <si>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</si>
  <si>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</si>
  <si>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</si>
  <si>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</si>
  <si>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</si>
  <si>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</si>
  <si>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</si>
  <si>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</si>
  <si>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</si>
  <si>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</si>
  <si>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</si>
  <si>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</si>
  <si>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</si>
  <si>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</si>
  <si>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</si>
  <si>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</si>
  <si>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</si>
  <si>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</si>
  <si>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</si>
  <si>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</si>
  <si>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</si>
  <si>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</si>
  <si>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</si>
  <si>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</si>
  <si>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</si>
  <si>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</si>
  <si>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</si>
  <si>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</si>
  <si>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</si>
  <si>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</si>
  <si>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</si>
  <si>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</si>
  <si>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</si>
  <si>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</si>
  <si>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</si>
  <si>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</si>
  <si>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</si>
  <si>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</si>
  <si>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</si>
  <si>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</si>
  <si>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</si>
  <si>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</si>
  <si>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</si>
  <si>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</si>
  <si>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</si>
  <si>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</si>
  <si>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</si>
  <si>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</si>
  <si>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</si>
  <si>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</si>
  <si>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</si>
  <si>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</si>
  <si>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</si>
  <si>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</si>
  <si>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</si>
  <si>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</si>
  <si>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</si>
  <si>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</si>
  <si>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</si>
  <si>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</si>
  <si>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</si>
  <si>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</si>
  <si>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</si>
  <si>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</si>
  <si>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</si>
  <si>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</si>
  <si>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</si>
  <si>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</si>
  <si>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</si>
  <si>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</si>
  <si>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</si>
  <si>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</si>
  <si>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</si>
  <si>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</si>
  <si>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</si>
  <si>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</si>
  <si>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</si>
  <si>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</si>
  <si>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</si>
  <si>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</si>
  <si>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</si>
  <si>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</si>
  <si>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</si>
  <si>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</si>
  <si>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</si>
  <si>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</si>
  <si>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</si>
  <si>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</si>
  <si>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</si>
  <si>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</si>
  <si>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</si>
  <si>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</si>
  <si>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</si>
  <si>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</si>
  <si>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</si>
  <si>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</si>
  <si>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</si>
  <si>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</si>
  <si>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</si>
  <si>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41027</t>
  </si>
  <si>
    <t>HERZELE</t>
  </si>
  <si>
    <t>Paarden&amp;pony's 200 - 600 kg</t>
  </si>
  <si>
    <t>Paarden&amp;pony's &lt; 200 kg</t>
  </si>
  <si>
    <t>Fluvius</t>
  </si>
  <si>
    <t>referentietaak LNE (2017); Jaarverslag De Lijn</t>
  </si>
  <si>
    <t>Mathieu Hendrickx</t>
  </si>
  <si>
    <t>Bekenholstraat 1 , 9550 Steenhuize-Wijnhuize</t>
  </si>
  <si>
    <t>WKK-0540 Mathieu Hendrickx</t>
  </si>
  <si>
    <t>interne verbrandingsmotor</t>
  </si>
  <si>
    <t>WKK interne verbrandinsgmotor (gas)</t>
  </si>
  <si>
    <t>INTERGEM</t>
  </si>
  <si>
    <t>De Vuyst Paul &amp; Filip</t>
  </si>
  <si>
    <t>Molendijk 1 , 9552 Borsbeke</t>
  </si>
  <si>
    <t>WKK-0566 De Vuyst</t>
  </si>
  <si>
    <t>Wijteveldstraat 74 , 9552 Borsbeke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</si>
</sst>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162491.36836184174</c:v>
                </c:pt>
                <c:pt idx="1">
                  <c:v>19975.36478924979</c:v>
                </c:pt>
                <c:pt idx="2">
                  <c:v>1413.7809999999999</c:v>
                </c:pt>
                <c:pt idx="3">
                  <c:v>4420.4977395706228</c:v>
                </c:pt>
                <c:pt idx="4">
                  <c:v>6184.847139694356</c:v>
                </c:pt>
                <c:pt idx="5">
                  <c:v>82155.122606740915</c:v>
                </c:pt>
                <c:pt idx="6">
                  <c:v>894.79994378828553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162491.36836184174</c:v>
                </c:pt>
                <c:pt idx="1">
                  <c:v>19975.36478924979</c:v>
                </c:pt>
                <c:pt idx="2">
                  <c:v>1413.7809999999999</c:v>
                </c:pt>
                <c:pt idx="3">
                  <c:v>4420.4977395706228</c:v>
                </c:pt>
                <c:pt idx="4">
                  <c:v>6184.847139694356</c:v>
                </c:pt>
                <c:pt idx="5">
                  <c:v>82155.122606740915</c:v>
                </c:pt>
                <c:pt idx="6">
                  <c:v>894.79994378828553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33462.757777928964</c:v>
                </c:pt>
                <c:pt idx="2">
                  <c:v>4046.195657548144</c:v>
                </c:pt>
                <c:pt idx="3">
                  <c:v>289.00266838129841</c:v>
                </c:pt>
                <c:pt idx="4">
                  <c:v>1098.5275653000581</c:v>
                </c:pt>
                <c:pt idx="5">
                  <c:v>1302.1523837500556</c:v>
                </c:pt>
                <c:pt idx="6">
                  <c:v>20585.878973663337</c:v>
                </c:pt>
                <c:pt idx="7">
                  <c:v>225.99443116699962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33462.757777928964</c:v>
                </c:pt>
                <c:pt idx="2">
                  <c:v>4046.195657548144</c:v>
                </c:pt>
                <c:pt idx="3">
                  <c:v>289.00266838129841</c:v>
                </c:pt>
                <c:pt idx="4">
                  <c:v>1098.5275653000581</c:v>
                </c:pt>
                <c:pt idx="5">
                  <c:v>1302.1523837500556</c:v>
                </c:pt>
                <c:pt idx="6">
                  <c:v>20585.878973663337</c:v>
                </c:pt>
                <c:pt idx="7">
                  <c:v>225.99443116699962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41027</v>
      </c>
      <c r="B6" s="391"/>
      <c r="C6" s="392"/>
    </row>
    <row r="7" spans="1:7" s="389" customFormat="1" ht="15.75" customHeight="1">
      <c r="A7" s="393" t="str">
        <f>txtMunicipality</f>
        <v>HERZELE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11772.1404</v>
      </c>
      <c r="D10" s="991">
        <f ca="1">tertiair!C16</f>
        <v>62.357142857142847</v>
      </c>
      <c r="E10" s="991">
        <f ca="1">tertiair!D16</f>
        <v>7466.4940767001572</v>
      </c>
      <c r="F10" s="991">
        <f>tertiair!E16</f>
        <v>108.87143413947527</v>
      </c>
      <c r="G10" s="991">
        <f ca="1">tertiair!F16</f>
        <v>1482.4423737163488</v>
      </c>
      <c r="H10" s="991">
        <f>tertiair!G16</f>
        <v>0</v>
      </c>
      <c r="I10" s="991">
        <f>tertiair!H16</f>
        <v>0</v>
      </c>
      <c r="J10" s="991">
        <f>tertiair!I16</f>
        <v>0</v>
      </c>
      <c r="K10" s="991">
        <f>tertiair!J16</f>
        <v>0</v>
      </c>
      <c r="L10" s="991">
        <f>tertiair!K16</f>
        <v>0</v>
      </c>
      <c r="M10" s="991">
        <f ca="1">tertiair!L16</f>
        <v>0</v>
      </c>
      <c r="N10" s="991">
        <f>tertiair!M16</f>
        <v>0</v>
      </c>
      <c r="O10" s="991">
        <f ca="1">tertiair!N16</f>
        <v>476.21036183666627</v>
      </c>
      <c r="P10" s="991">
        <f>tertiair!O16</f>
        <v>1.5633333333333335</v>
      </c>
      <c r="Q10" s="992">
        <f>tertiair!P16</f>
        <v>19.066666666666666</v>
      </c>
      <c r="R10" s="675">
        <f ca="1">SUM(C10:Q10)</f>
        <v>21389.145789249793</v>
      </c>
      <c r="S10" s="67"/>
    </row>
    <row r="11" spans="1:19" s="448" customFormat="1">
      <c r="A11" s="784" t="s">
        <v>224</v>
      </c>
      <c r="B11" s="789"/>
      <c r="C11" s="991">
        <f>huishoudens!B8</f>
        <v>34223.752543379051</v>
      </c>
      <c r="D11" s="991">
        <f>huishoudens!C8</f>
        <v>0</v>
      </c>
      <c r="E11" s="991">
        <f>huishoudens!D8</f>
        <v>40420.165667010762</v>
      </c>
      <c r="F11" s="991">
        <f>huishoudens!E8</f>
        <v>17339.909421274886</v>
      </c>
      <c r="G11" s="991">
        <f>huishoudens!F8</f>
        <v>47847.174406518578</v>
      </c>
      <c r="H11" s="991">
        <f>huishoudens!G8</f>
        <v>0</v>
      </c>
      <c r="I11" s="991">
        <f>huishoudens!H8</f>
        <v>0</v>
      </c>
      <c r="J11" s="991">
        <f>huishoudens!I8</f>
        <v>0</v>
      </c>
      <c r="K11" s="991">
        <f>huishoudens!J8</f>
        <v>4493.1326748094625</v>
      </c>
      <c r="L11" s="991">
        <f>huishoudens!K8</f>
        <v>0</v>
      </c>
      <c r="M11" s="991">
        <f>huishoudens!L8</f>
        <v>0</v>
      </c>
      <c r="N11" s="991">
        <f>huishoudens!M8</f>
        <v>0</v>
      </c>
      <c r="O11" s="991">
        <f>huishoudens!N8</f>
        <v>17456.373648848999</v>
      </c>
      <c r="P11" s="991">
        <f>huishoudens!O8</f>
        <v>253.26</v>
      </c>
      <c r="Q11" s="992">
        <f>huishoudens!P8</f>
        <v>457.6</v>
      </c>
      <c r="R11" s="675">
        <f>SUM(C11:Q11)</f>
        <v>162491.36836184174</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2635.9881100000002</v>
      </c>
      <c r="D13" s="991">
        <f>industrie!C18</f>
        <v>0</v>
      </c>
      <c r="E13" s="991">
        <f>industrie!D18</f>
        <v>1389.7571668974892</v>
      </c>
      <c r="F13" s="991">
        <f>industrie!E18</f>
        <v>286.0039514948603</v>
      </c>
      <c r="G13" s="991">
        <f>industrie!F18</f>
        <v>1545.94262838805</v>
      </c>
      <c r="H13" s="991">
        <f>industrie!G18</f>
        <v>0</v>
      </c>
      <c r="I13" s="991">
        <f>industrie!H18</f>
        <v>0</v>
      </c>
      <c r="J13" s="991">
        <f>industrie!I18</f>
        <v>0</v>
      </c>
      <c r="K13" s="991">
        <f>industrie!J18</f>
        <v>13.807129871844239</v>
      </c>
      <c r="L13" s="991">
        <f>industrie!K18</f>
        <v>0</v>
      </c>
      <c r="M13" s="991">
        <f>industrie!L18</f>
        <v>0</v>
      </c>
      <c r="N13" s="991">
        <f>industrie!M18</f>
        <v>0</v>
      </c>
      <c r="O13" s="991">
        <f>industrie!N18</f>
        <v>313.34815304211241</v>
      </c>
      <c r="P13" s="991">
        <f>industrie!O18</f>
        <v>0</v>
      </c>
      <c r="Q13" s="992">
        <f>industrie!P18</f>
        <v>0</v>
      </c>
      <c r="R13" s="675">
        <f>SUM(C13:Q13)</f>
        <v>6184.847139694356</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48631.881053379046</v>
      </c>
      <c r="D16" s="707">
        <f t="shared" ref="D16:R16" ca="1" si="0">SUM(D9:D15)</f>
        <v>62.357142857142847</v>
      </c>
      <c r="E16" s="707">
        <f t="shared" ca="1" si="0"/>
        <v>49276.416910608408</v>
      </c>
      <c r="F16" s="707">
        <f t="shared" si="0"/>
        <v>17734.784806909222</v>
      </c>
      <c r="G16" s="707">
        <f t="shared" ca="1" si="0"/>
        <v>50875.559408622976</v>
      </c>
      <c r="H16" s="707">
        <f t="shared" si="0"/>
        <v>0</v>
      </c>
      <c r="I16" s="707">
        <f t="shared" si="0"/>
        <v>0</v>
      </c>
      <c r="J16" s="707">
        <f t="shared" si="0"/>
        <v>0</v>
      </c>
      <c r="K16" s="707">
        <f t="shared" si="0"/>
        <v>4506.9398046813067</v>
      </c>
      <c r="L16" s="707">
        <f t="shared" si="0"/>
        <v>0</v>
      </c>
      <c r="M16" s="707">
        <f t="shared" ca="1" si="0"/>
        <v>0</v>
      </c>
      <c r="N16" s="707">
        <f t="shared" si="0"/>
        <v>0</v>
      </c>
      <c r="O16" s="707">
        <f t="shared" ca="1" si="0"/>
        <v>18245.932163727779</v>
      </c>
      <c r="P16" s="707">
        <f t="shared" si="0"/>
        <v>254.82333333333332</v>
      </c>
      <c r="Q16" s="707">
        <f t="shared" si="0"/>
        <v>476.66666666666669</v>
      </c>
      <c r="R16" s="707">
        <f t="shared" ca="1" si="0"/>
        <v>190065.36129078589</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846.42109051310717</v>
      </c>
      <c r="I19" s="991">
        <f>transport!H54</f>
        <v>0</v>
      </c>
      <c r="J19" s="991">
        <f>transport!I54</f>
        <v>0</v>
      </c>
      <c r="K19" s="991">
        <f>transport!J54</f>
        <v>0</v>
      </c>
      <c r="L19" s="991">
        <f>transport!K54</f>
        <v>0</v>
      </c>
      <c r="M19" s="991">
        <f>transport!L54</f>
        <v>0</v>
      </c>
      <c r="N19" s="991">
        <f>transport!M54</f>
        <v>48.378853275178308</v>
      </c>
      <c r="O19" s="991">
        <f>transport!N54</f>
        <v>0</v>
      </c>
      <c r="P19" s="991">
        <f>transport!O54</f>
        <v>0</v>
      </c>
      <c r="Q19" s="992">
        <f>transport!P54</f>
        <v>0</v>
      </c>
      <c r="R19" s="675">
        <f>SUM(C19:Q19)</f>
        <v>894.79994378828553</v>
      </c>
      <c r="S19" s="67"/>
    </row>
    <row r="20" spans="1:19" s="448" customFormat="1">
      <c r="A20" s="784" t="s">
        <v>306</v>
      </c>
      <c r="B20" s="789"/>
      <c r="C20" s="991">
        <f>transport!B14</f>
        <v>9.7896986877212608</v>
      </c>
      <c r="D20" s="991">
        <f>transport!C14</f>
        <v>0</v>
      </c>
      <c r="E20" s="991">
        <f>transport!D14</f>
        <v>21.122359980608731</v>
      </c>
      <c r="F20" s="991">
        <f>transport!E14</f>
        <v>199.53525724035825</v>
      </c>
      <c r="G20" s="991">
        <f>transport!F14</f>
        <v>0</v>
      </c>
      <c r="H20" s="991">
        <f>transport!G14</f>
        <v>65035.093813488304</v>
      </c>
      <c r="I20" s="991">
        <f>transport!H14</f>
        <v>12730.708883805228</v>
      </c>
      <c r="J20" s="991">
        <f>transport!I14</f>
        <v>0</v>
      </c>
      <c r="K20" s="991">
        <f>transport!J14</f>
        <v>0</v>
      </c>
      <c r="L20" s="991">
        <f>transport!K14</f>
        <v>0</v>
      </c>
      <c r="M20" s="991">
        <f>transport!L14</f>
        <v>0</v>
      </c>
      <c r="N20" s="991">
        <f>transport!M14</f>
        <v>4158.8725935387074</v>
      </c>
      <c r="O20" s="991">
        <f>transport!N14</f>
        <v>0</v>
      </c>
      <c r="P20" s="991">
        <f>transport!O14</f>
        <v>0</v>
      </c>
      <c r="Q20" s="992">
        <f>transport!P14</f>
        <v>0</v>
      </c>
      <c r="R20" s="675">
        <f>SUM(C20:Q20)</f>
        <v>82155.122606740915</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9.7896986877212608</v>
      </c>
      <c r="D22" s="787">
        <f t="shared" ref="D22:R22" si="1">SUM(D18:D21)</f>
        <v>0</v>
      </c>
      <c r="E22" s="787">
        <f t="shared" si="1"/>
        <v>21.122359980608731</v>
      </c>
      <c r="F22" s="787">
        <f t="shared" si="1"/>
        <v>199.53525724035825</v>
      </c>
      <c r="G22" s="787">
        <f t="shared" si="1"/>
        <v>0</v>
      </c>
      <c r="H22" s="787">
        <f t="shared" si="1"/>
        <v>65881.514904001408</v>
      </c>
      <c r="I22" s="787">
        <f t="shared" si="1"/>
        <v>12730.708883805228</v>
      </c>
      <c r="J22" s="787">
        <f t="shared" si="1"/>
        <v>0</v>
      </c>
      <c r="K22" s="787">
        <f t="shared" si="1"/>
        <v>0</v>
      </c>
      <c r="L22" s="787">
        <f t="shared" si="1"/>
        <v>0</v>
      </c>
      <c r="M22" s="787">
        <f t="shared" si="1"/>
        <v>0</v>
      </c>
      <c r="N22" s="787">
        <f t="shared" si="1"/>
        <v>4207.2514468138861</v>
      </c>
      <c r="O22" s="787">
        <f t="shared" si="1"/>
        <v>0</v>
      </c>
      <c r="P22" s="787">
        <f t="shared" si="1"/>
        <v>0</v>
      </c>
      <c r="Q22" s="787">
        <f t="shared" si="1"/>
        <v>0</v>
      </c>
      <c r="R22" s="787">
        <f t="shared" si="1"/>
        <v>83049.922550529198</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1143.0952</v>
      </c>
      <c r="D24" s="991">
        <f>+landbouw!C8</f>
        <v>62.357142857142847</v>
      </c>
      <c r="E24" s="991">
        <f>+landbouw!D8</f>
        <v>128.95803724700616</v>
      </c>
      <c r="F24" s="991">
        <f>+landbouw!E8</f>
        <v>10.587826514679426</v>
      </c>
      <c r="G24" s="991">
        <f>+landbouw!F8</f>
        <v>2900.2502818121307</v>
      </c>
      <c r="H24" s="991">
        <f>+landbouw!G8</f>
        <v>0</v>
      </c>
      <c r="I24" s="991">
        <f>+landbouw!H8</f>
        <v>0</v>
      </c>
      <c r="J24" s="991">
        <f>+landbouw!I8</f>
        <v>0</v>
      </c>
      <c r="K24" s="991">
        <f>+landbouw!J8</f>
        <v>175.24925113966444</v>
      </c>
      <c r="L24" s="991">
        <f>+landbouw!K8</f>
        <v>0</v>
      </c>
      <c r="M24" s="991">
        <f>+landbouw!L8</f>
        <v>0</v>
      </c>
      <c r="N24" s="991">
        <f>+landbouw!M8</f>
        <v>0</v>
      </c>
      <c r="O24" s="991">
        <f>+landbouw!N8</f>
        <v>0</v>
      </c>
      <c r="P24" s="991">
        <f>+landbouw!O8</f>
        <v>0</v>
      </c>
      <c r="Q24" s="992">
        <f>+landbouw!P8</f>
        <v>0</v>
      </c>
      <c r="R24" s="675">
        <f>SUM(C24:Q24)</f>
        <v>4420.4977395706228</v>
      </c>
      <c r="S24" s="67"/>
    </row>
    <row r="25" spans="1:19" s="448" customFormat="1" ht="15" thickBot="1">
      <c r="A25" s="806" t="s">
        <v>849</v>
      </c>
      <c r="B25" s="994"/>
      <c r="C25" s="995">
        <f>IF(Onbekend_ele_kWh="---",0,Onbekend_ele_kWh)/1000+IF(REST_rest_ele_kWh="---",0,REST_rest_ele_kWh)/1000</f>
        <v>758.66680000000008</v>
      </c>
      <c r="D25" s="995"/>
      <c r="E25" s="995">
        <f>IF(onbekend_gas_kWh="---",0,onbekend_gas_kWh)/1000+IF(REST_rest_gas_kWh="---",0,REST_rest_gas_kWh)/1000</f>
        <v>1358.5567687412399</v>
      </c>
      <c r="F25" s="995"/>
      <c r="G25" s="995"/>
      <c r="H25" s="995"/>
      <c r="I25" s="995"/>
      <c r="J25" s="995"/>
      <c r="K25" s="995"/>
      <c r="L25" s="995"/>
      <c r="M25" s="995"/>
      <c r="N25" s="995"/>
      <c r="O25" s="995"/>
      <c r="P25" s="995"/>
      <c r="Q25" s="996"/>
      <c r="R25" s="675">
        <f>SUM(C25:Q25)</f>
        <v>2117.2235687412399</v>
      </c>
      <c r="S25" s="67"/>
    </row>
    <row r="26" spans="1:19" s="448" customFormat="1" ht="15.75" thickBot="1">
      <c r="A26" s="680" t="s">
        <v>850</v>
      </c>
      <c r="B26" s="792"/>
      <c r="C26" s="787">
        <f>SUM(C24:C25)</f>
        <v>1901.7620000000002</v>
      </c>
      <c r="D26" s="787">
        <f t="shared" ref="D26:R26" si="2">SUM(D24:D25)</f>
        <v>62.357142857142847</v>
      </c>
      <c r="E26" s="787">
        <f t="shared" si="2"/>
        <v>1487.5148059882461</v>
      </c>
      <c r="F26" s="787">
        <f t="shared" si="2"/>
        <v>10.587826514679426</v>
      </c>
      <c r="G26" s="787">
        <f t="shared" si="2"/>
        <v>2900.2502818121307</v>
      </c>
      <c r="H26" s="787">
        <f t="shared" si="2"/>
        <v>0</v>
      </c>
      <c r="I26" s="787">
        <f t="shared" si="2"/>
        <v>0</v>
      </c>
      <c r="J26" s="787">
        <f t="shared" si="2"/>
        <v>0</v>
      </c>
      <c r="K26" s="787">
        <f t="shared" si="2"/>
        <v>175.24925113966444</v>
      </c>
      <c r="L26" s="787">
        <f t="shared" si="2"/>
        <v>0</v>
      </c>
      <c r="M26" s="787">
        <f t="shared" si="2"/>
        <v>0</v>
      </c>
      <c r="N26" s="787">
        <f t="shared" si="2"/>
        <v>0</v>
      </c>
      <c r="O26" s="787">
        <f t="shared" si="2"/>
        <v>0</v>
      </c>
      <c r="P26" s="787">
        <f t="shared" si="2"/>
        <v>0</v>
      </c>
      <c r="Q26" s="787">
        <f t="shared" si="2"/>
        <v>0</v>
      </c>
      <c r="R26" s="787">
        <f t="shared" si="2"/>
        <v>6537.7213083118622</v>
      </c>
      <c r="S26" s="67"/>
    </row>
    <row r="27" spans="1:19" s="448" customFormat="1" ht="17.25" thickTop="1" thickBot="1">
      <c r="A27" s="681" t="s">
        <v>115</v>
      </c>
      <c r="B27" s="780"/>
      <c r="C27" s="682">
        <f ca="1">C22+C16+C26</f>
        <v>50543.432752066772</v>
      </c>
      <c r="D27" s="682">
        <f t="shared" ref="D27:R27" ca="1" si="3">D22+D16+D26</f>
        <v>124.71428571428569</v>
      </c>
      <c r="E27" s="682">
        <f t="shared" ca="1" si="3"/>
        <v>50785.054076577268</v>
      </c>
      <c r="F27" s="682">
        <f t="shared" si="3"/>
        <v>17944.907890664257</v>
      </c>
      <c r="G27" s="682">
        <f t="shared" ca="1" si="3"/>
        <v>53775.809690435104</v>
      </c>
      <c r="H27" s="682">
        <f t="shared" si="3"/>
        <v>65881.514904001408</v>
      </c>
      <c r="I27" s="682">
        <f t="shared" si="3"/>
        <v>12730.708883805228</v>
      </c>
      <c r="J27" s="682">
        <f t="shared" si="3"/>
        <v>0</v>
      </c>
      <c r="K27" s="682">
        <f t="shared" si="3"/>
        <v>4682.1890558209707</v>
      </c>
      <c r="L27" s="682">
        <f t="shared" si="3"/>
        <v>0</v>
      </c>
      <c r="M27" s="682">
        <f t="shared" ca="1" si="3"/>
        <v>0</v>
      </c>
      <c r="N27" s="682">
        <f t="shared" si="3"/>
        <v>4207.2514468138861</v>
      </c>
      <c r="O27" s="682">
        <f t="shared" ca="1" si="3"/>
        <v>18245.932163727779</v>
      </c>
      <c r="P27" s="682">
        <f t="shared" si="3"/>
        <v>254.82333333333332</v>
      </c>
      <c r="Q27" s="682">
        <f t="shared" si="3"/>
        <v>476.66666666666669</v>
      </c>
      <c r="R27" s="682">
        <f t="shared" ca="1" si="3"/>
        <v>279653.00514962693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2406.4405931040847</v>
      </c>
      <c r="D40" s="991">
        <f ca="1">tertiair!C20</f>
        <v>0</v>
      </c>
      <c r="E40" s="991">
        <f ca="1">tertiair!D20</f>
        <v>1508.2318034934319</v>
      </c>
      <c r="F40" s="991">
        <f>tertiair!E20</f>
        <v>24.713815549660886</v>
      </c>
      <c r="G40" s="991">
        <f ca="1">tertiair!F20</f>
        <v>395.81211378226516</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4335.1983259294429</v>
      </c>
    </row>
    <row r="41" spans="1:18">
      <c r="A41" s="797" t="s">
        <v>224</v>
      </c>
      <c r="B41" s="804"/>
      <c r="C41" s="991">
        <f ca="1">huishoudens!B12</f>
        <v>6995.960341140385</v>
      </c>
      <c r="D41" s="991">
        <f ca="1">huishoudens!C12</f>
        <v>0</v>
      </c>
      <c r="E41" s="991">
        <f>huishoudens!D12</f>
        <v>8164.8734647361744</v>
      </c>
      <c r="F41" s="991">
        <f>huishoudens!E12</f>
        <v>3936.1594386293991</v>
      </c>
      <c r="G41" s="991">
        <f>huishoudens!F12</f>
        <v>12775.19556654046</v>
      </c>
      <c r="H41" s="991">
        <f>huishoudens!G12</f>
        <v>0</v>
      </c>
      <c r="I41" s="991">
        <f>huishoudens!H12</f>
        <v>0</v>
      </c>
      <c r="J41" s="991">
        <f>huishoudens!I12</f>
        <v>0</v>
      </c>
      <c r="K41" s="991">
        <f>huishoudens!J12</f>
        <v>1590.5689668825496</v>
      </c>
      <c r="L41" s="991">
        <f>huishoudens!K12</f>
        <v>0</v>
      </c>
      <c r="M41" s="991">
        <f>huishoudens!L12</f>
        <v>0</v>
      </c>
      <c r="N41" s="991">
        <f>huishoudens!M12</f>
        <v>0</v>
      </c>
      <c r="O41" s="991">
        <f>huishoudens!N12</f>
        <v>0</v>
      </c>
      <c r="P41" s="991">
        <f>huishoudens!O12</f>
        <v>0</v>
      </c>
      <c r="Q41" s="749">
        <f>huishoudens!P12</f>
        <v>0</v>
      </c>
      <c r="R41" s="825">
        <f t="shared" ca="1" si="4"/>
        <v>33462.757777928964</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538.84413329318738</v>
      </c>
      <c r="D43" s="991">
        <f ca="1">industrie!C22</f>
        <v>0</v>
      </c>
      <c r="E43" s="991">
        <f>industrie!D22</f>
        <v>280.73094771329284</v>
      </c>
      <c r="F43" s="991">
        <f>industrie!E22</f>
        <v>64.922896989333296</v>
      </c>
      <c r="G43" s="991">
        <f>industrie!F22</f>
        <v>412.76668177960937</v>
      </c>
      <c r="H43" s="991">
        <f>industrie!G22</f>
        <v>0</v>
      </c>
      <c r="I43" s="991">
        <f>industrie!H22</f>
        <v>0</v>
      </c>
      <c r="J43" s="991">
        <f>industrie!I22</f>
        <v>0</v>
      </c>
      <c r="K43" s="991">
        <f>industrie!J22</f>
        <v>4.88772397463286</v>
      </c>
      <c r="L43" s="991">
        <f>industrie!K22</f>
        <v>0</v>
      </c>
      <c r="M43" s="991">
        <f>industrie!L22</f>
        <v>0</v>
      </c>
      <c r="N43" s="991">
        <f>industrie!M22</f>
        <v>0</v>
      </c>
      <c r="O43" s="991">
        <f>industrie!N22</f>
        <v>0</v>
      </c>
      <c r="P43" s="991">
        <f>industrie!O22</f>
        <v>0</v>
      </c>
      <c r="Q43" s="749">
        <f>industrie!P22</f>
        <v>0</v>
      </c>
      <c r="R43" s="824">
        <f t="shared" ca="1" si="4"/>
        <v>1302.1523837500556</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9941.2450675376567</v>
      </c>
      <c r="D46" s="707">
        <f t="shared" ref="D46:Q46" ca="1" si="5">SUM(D39:D45)</f>
        <v>0</v>
      </c>
      <c r="E46" s="707">
        <f t="shared" ca="1" si="5"/>
        <v>9953.8362159428998</v>
      </c>
      <c r="F46" s="707">
        <f t="shared" si="5"/>
        <v>4025.7961511683934</v>
      </c>
      <c r="G46" s="707">
        <f t="shared" ca="1" si="5"/>
        <v>13583.774362102335</v>
      </c>
      <c r="H46" s="707">
        <f t="shared" si="5"/>
        <v>0</v>
      </c>
      <c r="I46" s="707">
        <f t="shared" si="5"/>
        <v>0</v>
      </c>
      <c r="J46" s="707">
        <f t="shared" si="5"/>
        <v>0</v>
      </c>
      <c r="K46" s="707">
        <f t="shared" si="5"/>
        <v>1595.4566908571824</v>
      </c>
      <c r="L46" s="707">
        <f t="shared" si="5"/>
        <v>0</v>
      </c>
      <c r="M46" s="707">
        <f t="shared" ca="1" si="5"/>
        <v>0</v>
      </c>
      <c r="N46" s="707">
        <f t="shared" si="5"/>
        <v>0</v>
      </c>
      <c r="O46" s="707">
        <f t="shared" ca="1" si="5"/>
        <v>0</v>
      </c>
      <c r="P46" s="707">
        <f t="shared" si="5"/>
        <v>0</v>
      </c>
      <c r="Q46" s="707">
        <f t="shared" si="5"/>
        <v>0</v>
      </c>
      <c r="R46" s="707">
        <f ca="1">SUM(R39:R45)</f>
        <v>39100.108487608464</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225.99443116699962</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225.99443116699962</v>
      </c>
    </row>
    <row r="50" spans="1:18">
      <c r="A50" s="800" t="s">
        <v>306</v>
      </c>
      <c r="B50" s="810"/>
      <c r="C50" s="678">
        <f ca="1">transport!B18</f>
        <v>2.0011932848159226</v>
      </c>
      <c r="D50" s="678">
        <f>transport!C18</f>
        <v>0</v>
      </c>
      <c r="E50" s="678">
        <f>transport!D18</f>
        <v>4.2667167160829642</v>
      </c>
      <c r="F50" s="678">
        <f>transport!E18</f>
        <v>45.294503393561321</v>
      </c>
      <c r="G50" s="678">
        <f>transport!F18</f>
        <v>0</v>
      </c>
      <c r="H50" s="678">
        <f>transport!G18</f>
        <v>17364.370048201377</v>
      </c>
      <c r="I50" s="678">
        <f>transport!H18</f>
        <v>3169.9465120675018</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20585.878973663337</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2.0011932848159226</v>
      </c>
      <c r="D52" s="707">
        <f t="shared" ref="D52:Q52" ca="1" si="6">SUM(D48:D51)</f>
        <v>0</v>
      </c>
      <c r="E52" s="707">
        <f t="shared" si="6"/>
        <v>4.2667167160829642</v>
      </c>
      <c r="F52" s="707">
        <f t="shared" si="6"/>
        <v>45.294503393561321</v>
      </c>
      <c r="G52" s="707">
        <f t="shared" si="6"/>
        <v>0</v>
      </c>
      <c r="H52" s="707">
        <f t="shared" si="6"/>
        <v>17590.364479368378</v>
      </c>
      <c r="I52" s="707">
        <f t="shared" si="6"/>
        <v>3169.9465120675018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20811.873404830338</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233.66954501005037</v>
      </c>
      <c r="D54" s="678">
        <f ca="1">+landbouw!C12</f>
        <v>0</v>
      </c>
      <c r="E54" s="678">
        <f>+landbouw!D12</f>
        <v>26.049523523895246</v>
      </c>
      <c r="F54" s="678">
        <f>+landbouw!E12</f>
        <v>2.4034366188322296</v>
      </c>
      <c r="G54" s="678">
        <f>+landbouw!F12</f>
        <v>774.36682524383889</v>
      </c>
      <c r="H54" s="678">
        <f>+landbouw!G12</f>
        <v>0</v>
      </c>
      <c r="I54" s="678">
        <f>+landbouw!H12</f>
        <v>0</v>
      </c>
      <c r="J54" s="678">
        <f>+landbouw!I12</f>
        <v>0</v>
      </c>
      <c r="K54" s="678">
        <f>+landbouw!J12</f>
        <v>62.038234903441207</v>
      </c>
      <c r="L54" s="678">
        <f>+landbouw!K12</f>
        <v>0</v>
      </c>
      <c r="M54" s="678">
        <f>+landbouw!L12</f>
        <v>0</v>
      </c>
      <c r="N54" s="678">
        <f>+landbouw!M12</f>
        <v>0</v>
      </c>
      <c r="O54" s="678">
        <f>+landbouw!N12</f>
        <v>0</v>
      </c>
      <c r="P54" s="678">
        <f>+landbouw!O12</f>
        <v>0</v>
      </c>
      <c r="Q54" s="679">
        <f>+landbouw!P12</f>
        <v>0</v>
      </c>
      <c r="R54" s="706">
        <f ca="1">SUM(C54:Q54)</f>
        <v>1098.5275653000581</v>
      </c>
    </row>
    <row r="55" spans="1:18" ht="15" thickBot="1">
      <c r="A55" s="800" t="s">
        <v>849</v>
      </c>
      <c r="B55" s="810"/>
      <c r="C55" s="678">
        <f ca="1">C25*'EF ele_warmte'!B12</f>
        <v>155.08535594430884</v>
      </c>
      <c r="D55" s="678"/>
      <c r="E55" s="678">
        <f>E25*EF_CO2_aardgas</f>
        <v>274.42846728573051</v>
      </c>
      <c r="F55" s="678"/>
      <c r="G55" s="678"/>
      <c r="H55" s="678"/>
      <c r="I55" s="678"/>
      <c r="J55" s="678"/>
      <c r="K55" s="678"/>
      <c r="L55" s="678"/>
      <c r="M55" s="678"/>
      <c r="N55" s="678"/>
      <c r="O55" s="678"/>
      <c r="P55" s="678"/>
      <c r="Q55" s="679"/>
      <c r="R55" s="706">
        <f ca="1">SUM(C55:Q55)</f>
        <v>429.51382323003935</v>
      </c>
    </row>
    <row r="56" spans="1:18" ht="15.75" thickBot="1">
      <c r="A56" s="798" t="s">
        <v>850</v>
      </c>
      <c r="B56" s="811"/>
      <c r="C56" s="707">
        <f ca="1">SUM(C54:C55)</f>
        <v>388.75490095435919</v>
      </c>
      <c r="D56" s="707">
        <f t="shared" ref="D56:Q56" ca="1" si="7">SUM(D54:D55)</f>
        <v>0</v>
      </c>
      <c r="E56" s="707">
        <f t="shared" si="7"/>
        <v>300.47799080962574</v>
      </c>
      <c r="F56" s="707">
        <f t="shared" si="7"/>
        <v>2.4034366188322296</v>
      </c>
      <c r="G56" s="707">
        <f t="shared" si="7"/>
        <v>774.36682524383889</v>
      </c>
      <c r="H56" s="707">
        <f t="shared" si="7"/>
        <v>0</v>
      </c>
      <c r="I56" s="707">
        <f t="shared" si="7"/>
        <v>0</v>
      </c>
      <c r="J56" s="707">
        <f t="shared" si="7"/>
        <v>0</v>
      </c>
      <c r="K56" s="707">
        <f t="shared" si="7"/>
        <v>62.038234903441207</v>
      </c>
      <c r="L56" s="707">
        <f t="shared" si="7"/>
        <v>0</v>
      </c>
      <c r="M56" s="707">
        <f t="shared" si="7"/>
        <v>0</v>
      </c>
      <c r="N56" s="707">
        <f t="shared" si="7"/>
        <v>0</v>
      </c>
      <c r="O56" s="707">
        <f t="shared" si="7"/>
        <v>0</v>
      </c>
      <c r="P56" s="707">
        <f t="shared" si="7"/>
        <v>0</v>
      </c>
      <c r="Q56" s="708">
        <f t="shared" si="7"/>
        <v>0</v>
      </c>
      <c r="R56" s="709">
        <f ca="1">SUM(R54:R55)</f>
        <v>1528.0413885300975</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10332.001161776832</v>
      </c>
      <c r="D61" s="715">
        <f t="shared" ref="D61:Q61" ca="1" si="8">D46+D52+D56</f>
        <v>0</v>
      </c>
      <c r="E61" s="715">
        <f t="shared" ca="1" si="8"/>
        <v>10258.580923468609</v>
      </c>
      <c r="F61" s="715">
        <f t="shared" si="8"/>
        <v>4073.4940911807867</v>
      </c>
      <c r="G61" s="715">
        <f t="shared" ca="1" si="8"/>
        <v>14358.141187346173</v>
      </c>
      <c r="H61" s="715">
        <f t="shared" si="8"/>
        <v>17590.364479368378</v>
      </c>
      <c r="I61" s="715">
        <f t="shared" si="8"/>
        <v>3169.9465120675018</v>
      </c>
      <c r="J61" s="715">
        <f t="shared" si="8"/>
        <v>0</v>
      </c>
      <c r="K61" s="715">
        <f t="shared" si="8"/>
        <v>1657.4949257606236</v>
      </c>
      <c r="L61" s="715">
        <f t="shared" si="8"/>
        <v>0</v>
      </c>
      <c r="M61" s="715">
        <f t="shared" ca="1" si="8"/>
        <v>0</v>
      </c>
      <c r="N61" s="715">
        <f t="shared" si="8"/>
        <v>0</v>
      </c>
      <c r="O61" s="715">
        <f t="shared" ca="1" si="8"/>
        <v>0</v>
      </c>
      <c r="P61" s="715">
        <f t="shared" si="8"/>
        <v>0</v>
      </c>
      <c r="Q61" s="715">
        <f t="shared" si="8"/>
        <v>0</v>
      </c>
      <c r="R61" s="715">
        <f ca="1">R46+R52+R56</f>
        <v>61440.023280968897</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0.20441827155782857</v>
      </c>
      <c r="D63" s="756">
        <f t="shared" ca="1" si="9"/>
        <v>0</v>
      </c>
      <c r="E63" s="1002">
        <f t="shared" ca="1" si="9"/>
        <v>0.20200000000000001</v>
      </c>
      <c r="F63" s="756">
        <f t="shared" si="9"/>
        <v>0.22700000000000001</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3704.9962734385731</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87.299999999999983</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102.70588235294116</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3792.2962734385733</v>
      </c>
      <c r="C78" s="730">
        <f>SUM(C72:C77)</f>
        <v>0</v>
      </c>
      <c r="D78" s="731">
        <f t="shared" ref="D78:H78" si="10">SUM(D76:D77)</f>
        <v>0</v>
      </c>
      <c r="E78" s="731">
        <f t="shared" si="10"/>
        <v>0</v>
      </c>
      <c r="F78" s="731">
        <f t="shared" si="10"/>
        <v>0</v>
      </c>
      <c r="G78" s="731">
        <f t="shared" si="10"/>
        <v>0</v>
      </c>
      <c r="H78" s="731">
        <f t="shared" si="10"/>
        <v>0</v>
      </c>
      <c r="I78" s="731">
        <f>SUM(I76:I77)</f>
        <v>0</v>
      </c>
      <c r="J78" s="731">
        <f>SUM(J76:J77)</f>
        <v>102.70588235294116</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124.71428571428569</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146.72268907563023</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124.71428571428569</v>
      </c>
      <c r="C90" s="730">
        <f>SUM(C87:C89)</f>
        <v>0</v>
      </c>
      <c r="D90" s="730">
        <f t="shared" ref="D90:H90" si="12">SUM(D87:D89)</f>
        <v>0</v>
      </c>
      <c r="E90" s="730">
        <f t="shared" si="12"/>
        <v>0</v>
      </c>
      <c r="F90" s="730">
        <f t="shared" si="12"/>
        <v>0</v>
      </c>
      <c r="G90" s="730">
        <f t="shared" si="12"/>
        <v>0</v>
      </c>
      <c r="H90" s="730">
        <f t="shared" si="12"/>
        <v>0</v>
      </c>
      <c r="I90" s="730">
        <f>SUM(I87:I89)</f>
        <v>0</v>
      </c>
      <c r="J90" s="730">
        <f>SUM(J87:J89)</f>
        <v>146.72268907563023</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34223.752543379051</v>
      </c>
      <c r="C4" s="452">
        <f>huishoudens!C8</f>
        <v>0</v>
      </c>
      <c r="D4" s="452">
        <f>huishoudens!D8</f>
        <v>40420.165667010762</v>
      </c>
      <c r="E4" s="452">
        <f>huishoudens!E8</f>
        <v>17339.909421274886</v>
      </c>
      <c r="F4" s="452">
        <f>huishoudens!F8</f>
        <v>47847.174406518578</v>
      </c>
      <c r="G4" s="452">
        <f>huishoudens!G8</f>
        <v>0</v>
      </c>
      <c r="H4" s="452">
        <f>huishoudens!H8</f>
        <v>0</v>
      </c>
      <c r="I4" s="452">
        <f>huishoudens!I8</f>
        <v>0</v>
      </c>
      <c r="J4" s="452">
        <f>huishoudens!J8</f>
        <v>4493.1326748094625</v>
      </c>
      <c r="K4" s="452">
        <f>huishoudens!K8</f>
        <v>0</v>
      </c>
      <c r="L4" s="452">
        <f>huishoudens!L8</f>
        <v>0</v>
      </c>
      <c r="M4" s="452">
        <f>huishoudens!M8</f>
        <v>0</v>
      </c>
      <c r="N4" s="452">
        <f>huishoudens!N8</f>
        <v>17456.373648848999</v>
      </c>
      <c r="O4" s="452">
        <f>huishoudens!O8</f>
        <v>253.26</v>
      </c>
      <c r="P4" s="453">
        <f>huishoudens!P8</f>
        <v>457.6</v>
      </c>
      <c r="Q4" s="454">
        <f>SUM(B4:P4)</f>
        <v>162491.36836184174</v>
      </c>
    </row>
    <row r="5" spans="1:17">
      <c r="A5" s="451" t="s">
        <v>155</v>
      </c>
      <c r="B5" s="452">
        <f ca="1">tertiair!B16</f>
        <v>10358.359399999999</v>
      </c>
      <c r="C5" s="452">
        <f ca="1">tertiair!C16</f>
        <v>62.357142857142847</v>
      </c>
      <c r="D5" s="452">
        <f ca="1">tertiair!D16</f>
        <v>7466.4940767001572</v>
      </c>
      <c r="E5" s="452">
        <f>tertiair!E16</f>
        <v>108.87143413947527</v>
      </c>
      <c r="F5" s="452">
        <f ca="1">tertiair!F16</f>
        <v>1482.4423737163488</v>
      </c>
      <c r="G5" s="452">
        <f>tertiair!G16</f>
        <v>0</v>
      </c>
      <c r="H5" s="452">
        <f>tertiair!H16</f>
        <v>0</v>
      </c>
      <c r="I5" s="452">
        <f>tertiair!I16</f>
        <v>0</v>
      </c>
      <c r="J5" s="452">
        <f>tertiair!J16</f>
        <v>0</v>
      </c>
      <c r="K5" s="452">
        <f>tertiair!K16</f>
        <v>0</v>
      </c>
      <c r="L5" s="452">
        <f ca="1">tertiair!L16</f>
        <v>0</v>
      </c>
      <c r="M5" s="452">
        <f>tertiair!M16</f>
        <v>0</v>
      </c>
      <c r="N5" s="452">
        <f ca="1">tertiair!N16</f>
        <v>476.21036183666627</v>
      </c>
      <c r="O5" s="452">
        <f>tertiair!O16</f>
        <v>1.5633333333333335</v>
      </c>
      <c r="P5" s="453">
        <f>tertiair!P16</f>
        <v>19.066666666666666</v>
      </c>
      <c r="Q5" s="451">
        <f t="shared" ref="Q5:Q14" ca="1" si="0">SUM(B5:P5)</f>
        <v>19975.36478924979</v>
      </c>
    </row>
    <row r="6" spans="1:17">
      <c r="A6" s="451" t="s">
        <v>193</v>
      </c>
      <c r="B6" s="452">
        <f>'openbare verlichting'!B8</f>
        <v>1413.7809999999999</v>
      </c>
      <c r="C6" s="452"/>
      <c r="D6" s="452"/>
      <c r="E6" s="452"/>
      <c r="F6" s="452"/>
      <c r="G6" s="452"/>
      <c r="H6" s="452"/>
      <c r="I6" s="452"/>
      <c r="J6" s="452"/>
      <c r="K6" s="452"/>
      <c r="L6" s="452"/>
      <c r="M6" s="452"/>
      <c r="N6" s="452"/>
      <c r="O6" s="452"/>
      <c r="P6" s="453"/>
      <c r="Q6" s="451">
        <f t="shared" si="0"/>
        <v>1413.7809999999999</v>
      </c>
    </row>
    <row r="7" spans="1:17">
      <c r="A7" s="451" t="s">
        <v>111</v>
      </c>
      <c r="B7" s="452">
        <f>landbouw!B8</f>
        <v>1143.0952</v>
      </c>
      <c r="C7" s="452">
        <f>landbouw!C8</f>
        <v>62.357142857142847</v>
      </c>
      <c r="D7" s="452">
        <f>landbouw!D8</f>
        <v>128.95803724700616</v>
      </c>
      <c r="E7" s="452">
        <f>landbouw!E8</f>
        <v>10.587826514679426</v>
      </c>
      <c r="F7" s="452">
        <f>landbouw!F8</f>
        <v>2900.2502818121307</v>
      </c>
      <c r="G7" s="452">
        <f>landbouw!G8</f>
        <v>0</v>
      </c>
      <c r="H7" s="452">
        <f>landbouw!H8</f>
        <v>0</v>
      </c>
      <c r="I7" s="452">
        <f>landbouw!I8</f>
        <v>0</v>
      </c>
      <c r="J7" s="452">
        <f>landbouw!J8</f>
        <v>175.24925113966444</v>
      </c>
      <c r="K7" s="452">
        <f>landbouw!K8</f>
        <v>0</v>
      </c>
      <c r="L7" s="452">
        <f>landbouw!L8</f>
        <v>0</v>
      </c>
      <c r="M7" s="452">
        <f>landbouw!M8</f>
        <v>0</v>
      </c>
      <c r="N7" s="452">
        <f>landbouw!N8</f>
        <v>0</v>
      </c>
      <c r="O7" s="452">
        <f>landbouw!O8</f>
        <v>0</v>
      </c>
      <c r="P7" s="453">
        <f>landbouw!P8</f>
        <v>0</v>
      </c>
      <c r="Q7" s="451">
        <f t="shared" si="0"/>
        <v>4420.4977395706228</v>
      </c>
    </row>
    <row r="8" spans="1:17">
      <c r="A8" s="451" t="s">
        <v>649</v>
      </c>
      <c r="B8" s="452">
        <f>industrie!B18</f>
        <v>2635.9881100000002</v>
      </c>
      <c r="C8" s="452">
        <f>industrie!C18</f>
        <v>0</v>
      </c>
      <c r="D8" s="452">
        <f>industrie!D18</f>
        <v>1389.7571668974892</v>
      </c>
      <c r="E8" s="452">
        <f>industrie!E18</f>
        <v>286.0039514948603</v>
      </c>
      <c r="F8" s="452">
        <f>industrie!F18</f>
        <v>1545.94262838805</v>
      </c>
      <c r="G8" s="452">
        <f>industrie!G18</f>
        <v>0</v>
      </c>
      <c r="H8" s="452">
        <f>industrie!H18</f>
        <v>0</v>
      </c>
      <c r="I8" s="452">
        <f>industrie!I18</f>
        <v>0</v>
      </c>
      <c r="J8" s="452">
        <f>industrie!J18</f>
        <v>13.807129871844239</v>
      </c>
      <c r="K8" s="452">
        <f>industrie!K18</f>
        <v>0</v>
      </c>
      <c r="L8" s="452">
        <f>industrie!L18</f>
        <v>0</v>
      </c>
      <c r="M8" s="452">
        <f>industrie!M18</f>
        <v>0</v>
      </c>
      <c r="N8" s="452">
        <f>industrie!N18</f>
        <v>313.34815304211241</v>
      </c>
      <c r="O8" s="452">
        <f>industrie!O18</f>
        <v>0</v>
      </c>
      <c r="P8" s="453">
        <f>industrie!P18</f>
        <v>0</v>
      </c>
      <c r="Q8" s="451">
        <f t="shared" si="0"/>
        <v>6184.847139694356</v>
      </c>
    </row>
    <row r="9" spans="1:17" s="457" customFormat="1">
      <c r="A9" s="455" t="s">
        <v>570</v>
      </c>
      <c r="B9" s="456">
        <f>transport!B14</f>
        <v>9.7896986877212608</v>
      </c>
      <c r="C9" s="456">
        <f>transport!C14</f>
        <v>0</v>
      </c>
      <c r="D9" s="456">
        <f>transport!D14</f>
        <v>21.122359980608731</v>
      </c>
      <c r="E9" s="456">
        <f>transport!E14</f>
        <v>199.53525724035825</v>
      </c>
      <c r="F9" s="456">
        <f>transport!F14</f>
        <v>0</v>
      </c>
      <c r="G9" s="456">
        <f>transport!G14</f>
        <v>65035.093813488304</v>
      </c>
      <c r="H9" s="456">
        <f>transport!H14</f>
        <v>12730.708883805228</v>
      </c>
      <c r="I9" s="456">
        <f>transport!I14</f>
        <v>0</v>
      </c>
      <c r="J9" s="456">
        <f>transport!J14</f>
        <v>0</v>
      </c>
      <c r="K9" s="456">
        <f>transport!K14</f>
        <v>0</v>
      </c>
      <c r="L9" s="456">
        <f>transport!L14</f>
        <v>0</v>
      </c>
      <c r="M9" s="456">
        <f>transport!M14</f>
        <v>4158.8725935387074</v>
      </c>
      <c r="N9" s="456">
        <f>transport!N14</f>
        <v>0</v>
      </c>
      <c r="O9" s="456">
        <f>transport!O14</f>
        <v>0</v>
      </c>
      <c r="P9" s="456">
        <f>transport!P14</f>
        <v>0</v>
      </c>
      <c r="Q9" s="455">
        <f>SUM(B9:P9)</f>
        <v>82155.122606740915</v>
      </c>
    </row>
    <row r="10" spans="1:17">
      <c r="A10" s="451" t="s">
        <v>560</v>
      </c>
      <c r="B10" s="452">
        <f>transport!B54</f>
        <v>0</v>
      </c>
      <c r="C10" s="452">
        <f>transport!C54</f>
        <v>0</v>
      </c>
      <c r="D10" s="452">
        <f>transport!D54</f>
        <v>0</v>
      </c>
      <c r="E10" s="452">
        <f>transport!E54</f>
        <v>0</v>
      </c>
      <c r="F10" s="452">
        <f>transport!F54</f>
        <v>0</v>
      </c>
      <c r="G10" s="452">
        <f>transport!G54</f>
        <v>846.42109051310717</v>
      </c>
      <c r="H10" s="452">
        <f>transport!H54</f>
        <v>0</v>
      </c>
      <c r="I10" s="452">
        <f>transport!I54</f>
        <v>0</v>
      </c>
      <c r="J10" s="452">
        <f>transport!J54</f>
        <v>0</v>
      </c>
      <c r="K10" s="452">
        <f>transport!K54</f>
        <v>0</v>
      </c>
      <c r="L10" s="452">
        <f>transport!L54</f>
        <v>0</v>
      </c>
      <c r="M10" s="452">
        <f>transport!M54</f>
        <v>48.378853275178308</v>
      </c>
      <c r="N10" s="452">
        <f>transport!N54</f>
        <v>0</v>
      </c>
      <c r="O10" s="452">
        <f>transport!O54</f>
        <v>0</v>
      </c>
      <c r="P10" s="453">
        <f>transport!P54</f>
        <v>0</v>
      </c>
      <c r="Q10" s="451">
        <f t="shared" si="0"/>
        <v>894.79994378828553</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758.66680000000008</v>
      </c>
      <c r="C14" s="459"/>
      <c r="D14" s="459">
        <f>'SEAP template'!E25</f>
        <v>1358.5567687412399</v>
      </c>
      <c r="E14" s="459"/>
      <c r="F14" s="459"/>
      <c r="G14" s="459"/>
      <c r="H14" s="459"/>
      <c r="I14" s="459"/>
      <c r="J14" s="459"/>
      <c r="K14" s="459"/>
      <c r="L14" s="459"/>
      <c r="M14" s="459"/>
      <c r="N14" s="459"/>
      <c r="O14" s="459"/>
      <c r="P14" s="460"/>
      <c r="Q14" s="451">
        <f t="shared" si="0"/>
        <v>2117.2235687412399</v>
      </c>
    </row>
    <row r="15" spans="1:17" s="461" customFormat="1">
      <c r="A15" s="1017" t="s">
        <v>564</v>
      </c>
      <c r="B15" s="957">
        <f ca="1">SUM(B4:B14)</f>
        <v>50543.432752066779</v>
      </c>
      <c r="C15" s="957">
        <f t="shared" ref="C15:Q15" ca="1" si="1">SUM(C4:C14)</f>
        <v>124.71428571428569</v>
      </c>
      <c r="D15" s="957">
        <f t="shared" ca="1" si="1"/>
        <v>50785.054076577268</v>
      </c>
      <c r="E15" s="957">
        <f t="shared" si="1"/>
        <v>17944.907890664261</v>
      </c>
      <c r="F15" s="957">
        <f t="shared" ca="1" si="1"/>
        <v>53775.809690435104</v>
      </c>
      <c r="G15" s="957">
        <f t="shared" si="1"/>
        <v>65881.514904001408</v>
      </c>
      <c r="H15" s="957">
        <f t="shared" si="1"/>
        <v>12730.708883805228</v>
      </c>
      <c r="I15" s="957">
        <f t="shared" si="1"/>
        <v>0</v>
      </c>
      <c r="J15" s="957">
        <f t="shared" si="1"/>
        <v>4682.1890558209707</v>
      </c>
      <c r="K15" s="957">
        <f t="shared" si="1"/>
        <v>0</v>
      </c>
      <c r="L15" s="957">
        <f t="shared" ca="1" si="1"/>
        <v>0</v>
      </c>
      <c r="M15" s="957">
        <f t="shared" si="1"/>
        <v>4207.2514468138861</v>
      </c>
      <c r="N15" s="957">
        <f t="shared" ca="1" si="1"/>
        <v>18245.932163727779</v>
      </c>
      <c r="O15" s="957">
        <f t="shared" si="1"/>
        <v>254.82333333333332</v>
      </c>
      <c r="P15" s="957">
        <f t="shared" si="1"/>
        <v>476.66666666666669</v>
      </c>
      <c r="Q15" s="957">
        <f t="shared" ca="1" si="1"/>
        <v>279653.00514962693</v>
      </c>
    </row>
    <row r="17" spans="1:17">
      <c r="A17" s="462" t="s">
        <v>565</v>
      </c>
      <c r="B17" s="761">
        <f ca="1">huishoudens!B10</f>
        <v>0.20441827155782857</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6995.960341140385</v>
      </c>
      <c r="C22" s="452">
        <f t="shared" ref="C22:C32" ca="1" si="3">C4*$C$17</f>
        <v>0</v>
      </c>
      <c r="D22" s="452">
        <f t="shared" ref="D22:D32" si="4">D4*$D$17</f>
        <v>8164.8734647361744</v>
      </c>
      <c r="E22" s="452">
        <f t="shared" ref="E22:E32" si="5">E4*$E$17</f>
        <v>3936.1594386293991</v>
      </c>
      <c r="F22" s="452">
        <f t="shared" ref="F22:F32" si="6">F4*$F$17</f>
        <v>12775.19556654046</v>
      </c>
      <c r="G22" s="452">
        <f t="shared" ref="G22:G32" si="7">G4*$G$17</f>
        <v>0</v>
      </c>
      <c r="H22" s="452">
        <f t="shared" ref="H22:H32" si="8">H4*$H$17</f>
        <v>0</v>
      </c>
      <c r="I22" s="452">
        <f t="shared" ref="I22:I32" si="9">I4*$I$17</f>
        <v>0</v>
      </c>
      <c r="J22" s="452">
        <f t="shared" ref="J22:J32" si="10">J4*$J$17</f>
        <v>1590.5689668825496</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33462.757777928964</v>
      </c>
    </row>
    <row r="23" spans="1:17">
      <c r="A23" s="451" t="s">
        <v>155</v>
      </c>
      <c r="B23" s="452">
        <f t="shared" ca="1" si="2"/>
        <v>2117.4379247227862</v>
      </c>
      <c r="C23" s="452">
        <f t="shared" ca="1" si="3"/>
        <v>0</v>
      </c>
      <c r="D23" s="452">
        <f t="shared" ca="1" si="4"/>
        <v>1508.2318034934319</v>
      </c>
      <c r="E23" s="452">
        <f t="shared" si="5"/>
        <v>24.713815549660886</v>
      </c>
      <c r="F23" s="452">
        <f t="shared" ca="1" si="6"/>
        <v>395.81211378226516</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4046.195657548144</v>
      </c>
    </row>
    <row r="24" spans="1:17">
      <c r="A24" s="451" t="s">
        <v>193</v>
      </c>
      <c r="B24" s="452">
        <f t="shared" ca="1" si="2"/>
        <v>289.00266838129841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289.00266838129841</v>
      </c>
    </row>
    <row r="25" spans="1:17">
      <c r="A25" s="451" t="s">
        <v>111</v>
      </c>
      <c r="B25" s="452">
        <f t="shared" ca="1" si="2"/>
        <v>233.66954501005037</v>
      </c>
      <c r="C25" s="452">
        <f t="shared" ca="1" si="3"/>
        <v>0</v>
      </c>
      <c r="D25" s="452">
        <f t="shared" si="4"/>
        <v>26.049523523895246</v>
      </c>
      <c r="E25" s="452">
        <f t="shared" si="5"/>
        <v>2.4034366188322296</v>
      </c>
      <c r="F25" s="452">
        <f t="shared" si="6"/>
        <v>774.36682524383889</v>
      </c>
      <c r="G25" s="452">
        <f t="shared" si="7"/>
        <v>0</v>
      </c>
      <c r="H25" s="452">
        <f t="shared" si="8"/>
        <v>0</v>
      </c>
      <c r="I25" s="452">
        <f t="shared" si="9"/>
        <v>0</v>
      </c>
      <c r="J25" s="452">
        <f t="shared" si="10"/>
        <v>62.038234903441207</v>
      </c>
      <c r="K25" s="452">
        <f t="shared" si="11"/>
        <v>0</v>
      </c>
      <c r="L25" s="452">
        <f t="shared" si="12"/>
        <v>0</v>
      </c>
      <c r="M25" s="452">
        <f t="shared" si="13"/>
        <v>0</v>
      </c>
      <c r="N25" s="452">
        <f t="shared" si="14"/>
        <v>0</v>
      </c>
      <c r="O25" s="452">
        <f t="shared" si="15"/>
        <v>0</v>
      </c>
      <c r="P25" s="453">
        <f t="shared" si="16"/>
        <v>0</v>
      </c>
      <c r="Q25" s="451">
        <f t="shared" ca="1" si="17"/>
        <v>1098.5275653000581</v>
      </c>
    </row>
    <row r="26" spans="1:17">
      <c r="A26" s="451" t="s">
        <v>649</v>
      </c>
      <c r="B26" s="452">
        <f t="shared" ca="1" si="2"/>
        <v>538.84413329318738</v>
      </c>
      <c r="C26" s="452">
        <f t="shared" ca="1" si="3"/>
        <v>0</v>
      </c>
      <c r="D26" s="452">
        <f t="shared" si="4"/>
        <v>280.73094771329284</v>
      </c>
      <c r="E26" s="452">
        <f t="shared" si="5"/>
        <v>64.922896989333296</v>
      </c>
      <c r="F26" s="452">
        <f t="shared" si="6"/>
        <v>412.76668177960937</v>
      </c>
      <c r="G26" s="452">
        <f t="shared" si="7"/>
        <v>0</v>
      </c>
      <c r="H26" s="452">
        <f t="shared" si="8"/>
        <v>0</v>
      </c>
      <c r="I26" s="452">
        <f t="shared" si="9"/>
        <v>0</v>
      </c>
      <c r="J26" s="452">
        <f t="shared" si="10"/>
        <v>4.88772397463286</v>
      </c>
      <c r="K26" s="452">
        <f t="shared" si="11"/>
        <v>0</v>
      </c>
      <c r="L26" s="452">
        <f t="shared" si="12"/>
        <v>0</v>
      </c>
      <c r="M26" s="452">
        <f t="shared" si="13"/>
        <v>0</v>
      </c>
      <c r="N26" s="452">
        <f t="shared" si="14"/>
        <v>0</v>
      </c>
      <c r="O26" s="452">
        <f t="shared" si="15"/>
        <v>0</v>
      </c>
      <c r="P26" s="453">
        <f t="shared" si="16"/>
        <v>0</v>
      </c>
      <c r="Q26" s="451">
        <f t="shared" ca="1" si="17"/>
        <v>1302.1523837500556</v>
      </c>
    </row>
    <row r="27" spans="1:17" s="457" customFormat="1">
      <c r="A27" s="455" t="s">
        <v>570</v>
      </c>
      <c r="B27" s="755">
        <f t="shared" ca="1" si="2"/>
        <v>2.0011932848159226</v>
      </c>
      <c r="C27" s="456">
        <f t="shared" ca="1" si="3"/>
        <v>0</v>
      </c>
      <c r="D27" s="456">
        <f t="shared" si="4"/>
        <v>4.2667167160829642</v>
      </c>
      <c r="E27" s="456">
        <f t="shared" si="5"/>
        <v>45.294503393561321</v>
      </c>
      <c r="F27" s="456">
        <f t="shared" si="6"/>
        <v>0</v>
      </c>
      <c r="G27" s="456">
        <f t="shared" si="7"/>
        <v>17364.370048201377</v>
      </c>
      <c r="H27" s="456">
        <f t="shared" si="8"/>
        <v>3169.9465120675018</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20585.878973663337</v>
      </c>
    </row>
    <row r="28" spans="1:17">
      <c r="A28" s="451" t="s">
        <v>560</v>
      </c>
      <c r="B28" s="452">
        <f t="shared" ca="1" si="2"/>
        <v>0</v>
      </c>
      <c r="C28" s="452">
        <f t="shared" ca="1" si="3"/>
        <v>0</v>
      </c>
      <c r="D28" s="452">
        <f t="shared" si="4"/>
        <v>0</v>
      </c>
      <c r="E28" s="452">
        <f t="shared" si="5"/>
        <v>0</v>
      </c>
      <c r="F28" s="452">
        <f t="shared" si="6"/>
        <v>0</v>
      </c>
      <c r="G28" s="452">
        <f t="shared" si="7"/>
        <v>225.99443116699962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225.99443116699962</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155.08535594430884</v>
      </c>
      <c r="C32" s="452">
        <f t="shared" ca="1" si="3"/>
        <v>0</v>
      </c>
      <c r="D32" s="452">
        <f t="shared" si="4"/>
        <v>274.42846728573051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429.51382323003935</v>
      </c>
    </row>
    <row r="33" spans="1:17" s="461" customFormat="1">
      <c r="A33" s="1017" t="s">
        <v>564</v>
      </c>
      <c r="B33" s="957">
        <f ca="1">SUM(B22:B32)</f>
        <v>10332.001161776832</v>
      </c>
      <c r="C33" s="957">
        <f t="shared" ref="C33:Q33" ca="1" si="18">SUM(C22:C32)</f>
        <v>0</v>
      </c>
      <c r="D33" s="957">
        <f t="shared" ca="1" si="18"/>
        <v>10258.580923468609</v>
      </c>
      <c r="E33" s="957">
        <f t="shared" si="18"/>
        <v>4073.4940911807867</v>
      </c>
      <c r="F33" s="957">
        <f t="shared" ca="1" si="18"/>
        <v>14358.141187346173</v>
      </c>
      <c r="G33" s="957">
        <f t="shared" si="18"/>
        <v>17590.364479368378</v>
      </c>
      <c r="H33" s="957">
        <f t="shared" si="18"/>
        <v>3169.9465120675018</v>
      </c>
      <c r="I33" s="957">
        <f t="shared" si="18"/>
        <v>0</v>
      </c>
      <c r="J33" s="957">
        <f t="shared" si="18"/>
        <v>1657.4949257606236</v>
      </c>
      <c r="K33" s="957">
        <f t="shared" si="18"/>
        <v>0</v>
      </c>
      <c r="L33" s="957">
        <f t="shared" ca="1" si="18"/>
        <v>0</v>
      </c>
      <c r="M33" s="957">
        <f t="shared" si="18"/>
        <v>0</v>
      </c>
      <c r="N33" s="957">
        <f t="shared" ca="1" si="18"/>
        <v>0</v>
      </c>
      <c r="O33" s="957">
        <f t="shared" si="18"/>
        <v>0</v>
      </c>
      <c r="P33" s="957">
        <f t="shared" si="18"/>
        <v>0</v>
      </c>
      <c r="Q33" s="957">
        <f t="shared" ca="1" si="18"/>
        <v>61440.02328096889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3704.9962734385731</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87.299999999999983</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102.70588235294116</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3792.2962734385733</v>
      </c>
      <c r="C10" s="1038">
        <f>SUM(C4:C9)</f>
        <v>0</v>
      </c>
      <c r="D10" s="1038">
        <f t="shared" ref="D10:H10" si="0">SUM(D8:D9)</f>
        <v>0</v>
      </c>
      <c r="E10" s="1038">
        <f t="shared" si="0"/>
        <v>0</v>
      </c>
      <c r="F10" s="1038">
        <f t="shared" si="0"/>
        <v>0</v>
      </c>
      <c r="G10" s="1038">
        <f t="shared" si="0"/>
        <v>0</v>
      </c>
      <c r="H10" s="1038">
        <f t="shared" si="0"/>
        <v>0</v>
      </c>
      <c r="I10" s="1038">
        <f>SUM(I8:I9)</f>
        <v>0</v>
      </c>
      <c r="J10" s="1038">
        <f>SUM(J8:J9)</f>
        <v>102.70588235294116</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0.20441827155782857</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124.71428571428569</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146.72268907563023</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124.71428571428569</v>
      </c>
      <c r="C20" s="1038">
        <f>SUM(C17:C19)</f>
        <v>0</v>
      </c>
      <c r="D20" s="1038">
        <f t="shared" ref="D20:H20" si="2">SUM(D17:D19)</f>
        <v>0</v>
      </c>
      <c r="E20" s="1038">
        <f t="shared" si="2"/>
        <v>0</v>
      </c>
      <c r="F20" s="1038">
        <f t="shared" si="2"/>
        <v>0</v>
      </c>
      <c r="G20" s="1038">
        <f t="shared" si="2"/>
        <v>0</v>
      </c>
      <c r="H20" s="1038">
        <f t="shared" si="2"/>
        <v>0</v>
      </c>
      <c r="I20" s="1038">
        <f>SUM(I17:I19)</f>
        <v>0</v>
      </c>
      <c r="J20" s="1038">
        <f>SUM(J17:J19)</f>
        <v>146.72268907563023</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0.20441827155782857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0.20441827155782857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0.20441827155782857</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7204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2852</v>
      </c>
      <c r="C14" s="330"/>
      <c r="D14" s="330"/>
      <c r="E14" s="330"/>
      <c r="F14" s="330"/>
    </row>
    <row r="15" spans="1:6">
      <c r="A15" s="1305" t="s">
        <v>183</v>
      </c>
      <c r="B15" s="1306">
        <v>183</v>
      </c>
      <c r="C15" s="330"/>
      <c r="D15" s="330"/>
      <c r="E15" s="330"/>
      <c r="F15" s="330"/>
    </row>
    <row r="16" spans="1:6">
      <c r="A16" s="1305" t="s">
        <v>6</v>
      </c>
      <c r="B16" s="1306">
        <v>1083</v>
      </c>
      <c r="C16" s="330"/>
      <c r="D16" s="330"/>
      <c r="E16" s="330"/>
      <c r="F16" s="330"/>
    </row>
    <row r="17" spans="1:6">
      <c r="A17" s="1305" t="s">
        <v>7</v>
      </c>
      <c r="B17" s="1306">
        <v>760</v>
      </c>
      <c r="C17" s="330"/>
      <c r="D17" s="330"/>
      <c r="E17" s="330"/>
      <c r="F17" s="330"/>
    </row>
    <row r="18" spans="1:6">
      <c r="A18" s="1305" t="s">
        <v>8</v>
      </c>
      <c r="B18" s="1306">
        <v>1193</v>
      </c>
      <c r="C18" s="330"/>
      <c r="D18" s="330"/>
      <c r="E18" s="330"/>
      <c r="F18" s="330"/>
    </row>
    <row r="19" spans="1:6">
      <c r="A19" s="1305" t="s">
        <v>9</v>
      </c>
      <c r="B19" s="1306">
        <v>1166</v>
      </c>
      <c r="C19" s="330"/>
      <c r="D19" s="330"/>
      <c r="E19" s="330"/>
      <c r="F19" s="330"/>
    </row>
    <row r="20" spans="1:6">
      <c r="A20" s="1305" t="s">
        <v>10</v>
      </c>
      <c r="B20" s="1306">
        <v>828</v>
      </c>
      <c r="C20" s="330"/>
      <c r="D20" s="330"/>
      <c r="E20" s="330"/>
      <c r="F20" s="330"/>
    </row>
    <row r="21" spans="1:6">
      <c r="A21" s="1305" t="s">
        <v>11</v>
      </c>
      <c r="B21" s="1306">
        <v>0</v>
      </c>
      <c r="C21" s="330"/>
      <c r="D21" s="330"/>
      <c r="E21" s="330"/>
      <c r="F21" s="330"/>
    </row>
    <row r="22" spans="1:6">
      <c r="A22" s="1305" t="s">
        <v>12</v>
      </c>
      <c r="B22" s="1306">
        <v>700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216</v>
      </c>
      <c r="C26" s="330"/>
      <c r="D26" s="330"/>
      <c r="E26" s="330"/>
      <c r="F26" s="330"/>
    </row>
    <row r="27" spans="1:6">
      <c r="A27" s="1305" t="s">
        <v>17</v>
      </c>
      <c r="B27" s="1306">
        <v>411</v>
      </c>
      <c r="C27" s="330"/>
      <c r="D27" s="330"/>
      <c r="E27" s="330"/>
      <c r="F27" s="330"/>
    </row>
    <row r="28" spans="1:6" s="43" customFormat="1">
      <c r="A28" s="1307" t="s">
        <v>18</v>
      </c>
      <c r="B28" s="1308">
        <v>8620</v>
      </c>
      <c r="C28" s="336"/>
      <c r="D28" s="336"/>
      <c r="E28" s="336"/>
      <c r="F28" s="336"/>
    </row>
    <row r="29" spans="1:6">
      <c r="A29" s="1307" t="s">
        <v>909</v>
      </c>
      <c r="B29" s="1308">
        <v>132</v>
      </c>
      <c r="C29" s="336"/>
      <c r="D29" s="336"/>
      <c r="E29" s="336"/>
      <c r="F29" s="336"/>
    </row>
    <row r="30" spans="1:6">
      <c r="A30" s="1300" t="s">
        <v>910</v>
      </c>
      <c r="B30" s="1309">
        <v>27</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2</v>
      </c>
      <c r="F38" s="1306">
        <v>4989</v>
      </c>
    </row>
    <row r="39" spans="1:6">
      <c r="A39" s="1305" t="s">
        <v>29</v>
      </c>
      <c r="B39" s="1305" t="s">
        <v>30</v>
      </c>
      <c r="C39" s="1306">
        <v>3108</v>
      </c>
      <c r="D39" s="1306">
        <v>44811713.599790201</v>
      </c>
      <c r="E39" s="1306">
        <v>7113</v>
      </c>
      <c r="F39" s="1306">
        <v>30908115</v>
      </c>
    </row>
    <row r="40" spans="1:6">
      <c r="A40" s="1305" t="s">
        <v>29</v>
      </c>
      <c r="B40" s="1305" t="s">
        <v>28</v>
      </c>
      <c r="C40" s="1306">
        <v>0</v>
      </c>
      <c r="D40" s="1306">
        <v>0</v>
      </c>
      <c r="E40" s="1306">
        <v>0</v>
      </c>
      <c r="F40" s="1306">
        <v>0</v>
      </c>
    </row>
    <row r="41" spans="1:6">
      <c r="A41" s="1305" t="s">
        <v>31</v>
      </c>
      <c r="B41" s="1305" t="s">
        <v>32</v>
      </c>
      <c r="C41" s="1306">
        <v>26</v>
      </c>
      <c r="D41" s="1306">
        <v>423141.83045302198</v>
      </c>
      <c r="E41" s="1306">
        <v>124</v>
      </c>
      <c r="F41" s="1306">
        <v>751587.5</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4</v>
      </c>
      <c r="D44" s="1306">
        <v>35696.082849352802</v>
      </c>
      <c r="E44" s="1306">
        <v>8</v>
      </c>
      <c r="F44" s="1306">
        <v>46681.78</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3</v>
      </c>
      <c r="F47" s="1306">
        <v>47771.63</v>
      </c>
    </row>
    <row r="48" spans="1:6">
      <c r="A48" s="1305" t="s">
        <v>31</v>
      </c>
      <c r="B48" s="1305" t="s">
        <v>28</v>
      </c>
      <c r="C48" s="1306">
        <v>22</v>
      </c>
      <c r="D48" s="1306">
        <v>693292.05054714205</v>
      </c>
      <c r="E48" s="1306">
        <v>39</v>
      </c>
      <c r="F48" s="1306">
        <v>1470881</v>
      </c>
    </row>
    <row r="49" spans="1:6">
      <c r="A49" s="1305" t="s">
        <v>31</v>
      </c>
      <c r="B49" s="1305" t="s">
        <v>39</v>
      </c>
      <c r="C49" s="1306">
        <v>0</v>
      </c>
      <c r="D49" s="1306">
        <v>0</v>
      </c>
      <c r="E49" s="1306">
        <v>0</v>
      </c>
      <c r="F49" s="1306">
        <v>0</v>
      </c>
    </row>
    <row r="50" spans="1:6">
      <c r="A50" s="1305" t="s">
        <v>31</v>
      </c>
      <c r="B50" s="1305" t="s">
        <v>40</v>
      </c>
      <c r="C50" s="1306">
        <v>4</v>
      </c>
      <c r="D50" s="1306">
        <v>388620.77550468402</v>
      </c>
      <c r="E50" s="1306">
        <v>8</v>
      </c>
      <c r="F50" s="1306">
        <v>319066.2</v>
      </c>
    </row>
    <row r="51" spans="1:6">
      <c r="A51" s="1305" t="s">
        <v>41</v>
      </c>
      <c r="B51" s="1305" t="s">
        <v>42</v>
      </c>
      <c r="C51" s="1306">
        <v>3</v>
      </c>
      <c r="D51" s="1306">
        <v>61267.490994042601</v>
      </c>
      <c r="E51" s="1306">
        <v>69</v>
      </c>
      <c r="F51" s="1306">
        <v>1041017</v>
      </c>
    </row>
    <row r="52" spans="1:6">
      <c r="A52" s="1305" t="s">
        <v>41</v>
      </c>
      <c r="B52" s="1305" t="s">
        <v>28</v>
      </c>
      <c r="C52" s="1306">
        <v>3</v>
      </c>
      <c r="D52" s="1306">
        <v>81701.508171152702</v>
      </c>
      <c r="E52" s="1306">
        <v>13</v>
      </c>
      <c r="F52" s="1306">
        <v>102078.2</v>
      </c>
    </row>
    <row r="53" spans="1:6">
      <c r="A53" s="1305" t="s">
        <v>43</v>
      </c>
      <c r="B53" s="1305" t="s">
        <v>44</v>
      </c>
      <c r="C53" s="1306">
        <v>76</v>
      </c>
      <c r="D53" s="1306">
        <v>1358556.76874124</v>
      </c>
      <c r="E53" s="1306">
        <v>220</v>
      </c>
      <c r="F53" s="1306">
        <v>758666.8</v>
      </c>
    </row>
    <row r="54" spans="1:6">
      <c r="A54" s="1305" t="s">
        <v>45</v>
      </c>
      <c r="B54" s="1305" t="s">
        <v>46</v>
      </c>
      <c r="C54" s="1306">
        <v>0</v>
      </c>
      <c r="D54" s="1306">
        <v>0</v>
      </c>
      <c r="E54" s="1306">
        <v>1</v>
      </c>
      <c r="F54" s="1306">
        <v>1413781</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9</v>
      </c>
      <c r="D57" s="1306">
        <v>156477.00935764299</v>
      </c>
      <c r="E57" s="1306">
        <v>41</v>
      </c>
      <c r="F57" s="1306">
        <v>528224.19999999995</v>
      </c>
    </row>
    <row r="58" spans="1:6">
      <c r="A58" s="1305" t="s">
        <v>48</v>
      </c>
      <c r="B58" s="1305" t="s">
        <v>50</v>
      </c>
      <c r="C58" s="1306">
        <v>4</v>
      </c>
      <c r="D58" s="1306">
        <v>108612.06295234901</v>
      </c>
      <c r="E58" s="1306">
        <v>24</v>
      </c>
      <c r="F58" s="1306">
        <v>469984.1</v>
      </c>
    </row>
    <row r="59" spans="1:6">
      <c r="A59" s="1305" t="s">
        <v>48</v>
      </c>
      <c r="B59" s="1305" t="s">
        <v>51</v>
      </c>
      <c r="C59" s="1306">
        <v>32</v>
      </c>
      <c r="D59" s="1306">
        <v>892799.739557661</v>
      </c>
      <c r="E59" s="1306">
        <v>117</v>
      </c>
      <c r="F59" s="1306">
        <v>3970510</v>
      </c>
    </row>
    <row r="60" spans="1:6">
      <c r="A60" s="1305" t="s">
        <v>48</v>
      </c>
      <c r="B60" s="1305" t="s">
        <v>52</v>
      </c>
      <c r="C60" s="1306">
        <v>20</v>
      </c>
      <c r="D60" s="1306">
        <v>473816.83384717198</v>
      </c>
      <c r="E60" s="1306">
        <v>56</v>
      </c>
      <c r="F60" s="1306">
        <v>938521.9</v>
      </c>
    </row>
    <row r="61" spans="1:6">
      <c r="A61" s="1305" t="s">
        <v>48</v>
      </c>
      <c r="B61" s="1305" t="s">
        <v>53</v>
      </c>
      <c r="C61" s="1306">
        <v>73</v>
      </c>
      <c r="D61" s="1306">
        <v>3947909.5933012599</v>
      </c>
      <c r="E61" s="1306">
        <v>214</v>
      </c>
      <c r="F61" s="1306">
        <v>2249488</v>
      </c>
    </row>
    <row r="62" spans="1:6">
      <c r="A62" s="1305" t="s">
        <v>48</v>
      </c>
      <c r="B62" s="1305" t="s">
        <v>54</v>
      </c>
      <c r="C62" s="1306">
        <v>0</v>
      </c>
      <c r="D62" s="1306">
        <v>0</v>
      </c>
      <c r="E62" s="1306">
        <v>10</v>
      </c>
      <c r="F62" s="1306">
        <v>165726.20000000001</v>
      </c>
    </row>
    <row r="63" spans="1:6">
      <c r="A63" s="1305" t="s">
        <v>48</v>
      </c>
      <c r="B63" s="1305" t="s">
        <v>28</v>
      </c>
      <c r="C63" s="1306">
        <v>95</v>
      </c>
      <c r="D63" s="1306">
        <v>2698094.3803854198</v>
      </c>
      <c r="E63" s="1306">
        <v>146</v>
      </c>
      <c r="F63" s="1306">
        <v>1992255</v>
      </c>
    </row>
    <row r="64" spans="1:6">
      <c r="A64" s="1305" t="s">
        <v>55</v>
      </c>
      <c r="B64" s="1305" t="s">
        <v>56</v>
      </c>
      <c r="C64" s="1306">
        <v>0</v>
      </c>
      <c r="D64" s="1306">
        <v>0</v>
      </c>
      <c r="E64" s="1306">
        <v>0</v>
      </c>
      <c r="F64" s="1306">
        <v>0</v>
      </c>
    </row>
    <row r="65" spans="1:6">
      <c r="A65" s="1305" t="s">
        <v>55</v>
      </c>
      <c r="B65" s="1305" t="s">
        <v>28</v>
      </c>
      <c r="C65" s="1306">
        <v>1</v>
      </c>
      <c r="D65" s="1306">
        <v>8106.8393989213</v>
      </c>
      <c r="E65" s="1306">
        <v>5</v>
      </c>
      <c r="F65" s="1306">
        <v>103559.4</v>
      </c>
    </row>
    <row r="66" spans="1:6">
      <c r="A66" s="1305" t="s">
        <v>55</v>
      </c>
      <c r="B66" s="1305" t="s">
        <v>57</v>
      </c>
      <c r="C66" s="1306">
        <v>0</v>
      </c>
      <c r="D66" s="1306">
        <v>0</v>
      </c>
      <c r="E66" s="1306">
        <v>5</v>
      </c>
      <c r="F66" s="1306">
        <v>12832</v>
      </c>
    </row>
    <row r="67" spans="1:6">
      <c r="A67" s="1307" t="s">
        <v>55</v>
      </c>
      <c r="B67" s="1307" t="s">
        <v>58</v>
      </c>
      <c r="C67" s="1306">
        <v>0</v>
      </c>
      <c r="D67" s="1306">
        <v>0</v>
      </c>
      <c r="E67" s="1306">
        <v>0</v>
      </c>
      <c r="F67" s="1306">
        <v>0</v>
      </c>
    </row>
    <row r="68" spans="1:6">
      <c r="A68" s="1300" t="s">
        <v>55</v>
      </c>
      <c r="B68" s="1300" t="s">
        <v>59</v>
      </c>
      <c r="C68" s="1309">
        <v>0</v>
      </c>
      <c r="D68" s="1309">
        <v>0</v>
      </c>
      <c r="E68" s="1309">
        <v>5</v>
      </c>
      <c r="F68" s="1309">
        <v>83323.210000000006</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57804299</v>
      </c>
      <c r="E73" s="450"/>
      <c r="F73" s="330"/>
    </row>
    <row r="74" spans="1:6">
      <c r="A74" s="1305" t="s">
        <v>63</v>
      </c>
      <c r="B74" s="1305" t="s">
        <v>710</v>
      </c>
      <c r="C74" s="1319" t="s">
        <v>712</v>
      </c>
      <c r="D74" s="1320">
        <v>6066945.9854459139</v>
      </c>
      <c r="E74" s="450"/>
      <c r="F74" s="330"/>
    </row>
    <row r="75" spans="1:6">
      <c r="A75" s="1305" t="s">
        <v>64</v>
      </c>
      <c r="B75" s="1305" t="s">
        <v>709</v>
      </c>
      <c r="C75" s="1319" t="s">
        <v>713</v>
      </c>
      <c r="D75" s="1320">
        <v>28721588</v>
      </c>
      <c r="E75" s="450"/>
      <c r="F75" s="330"/>
    </row>
    <row r="76" spans="1:6">
      <c r="A76" s="1305" t="s">
        <v>64</v>
      </c>
      <c r="B76" s="1305" t="s">
        <v>710</v>
      </c>
      <c r="C76" s="1319" t="s">
        <v>714</v>
      </c>
      <c r="D76" s="1320">
        <v>1086624.9854459134</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240254.02910817307</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3315.6375433790463</v>
      </c>
      <c r="C91" s="330"/>
      <c r="D91" s="330"/>
      <c r="E91" s="330"/>
      <c r="F91" s="330"/>
    </row>
    <row r="92" spans="1:6">
      <c r="A92" s="1300" t="s">
        <v>68</v>
      </c>
      <c r="B92" s="1301">
        <v>389.35873005952664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1016</v>
      </c>
      <c r="C97" s="330"/>
      <c r="D97" s="330"/>
      <c r="E97" s="330"/>
      <c r="F97" s="330"/>
    </row>
    <row r="98" spans="1:6">
      <c r="A98" s="1305" t="s">
        <v>71</v>
      </c>
      <c r="B98" s="1306">
        <v>1</v>
      </c>
      <c r="C98" s="330"/>
      <c r="D98" s="330"/>
      <c r="E98" s="330"/>
      <c r="F98" s="330"/>
    </row>
    <row r="99" spans="1:6">
      <c r="A99" s="1305" t="s">
        <v>72</v>
      </c>
      <c r="B99" s="1306">
        <v>101</v>
      </c>
      <c r="C99" s="330"/>
      <c r="D99" s="330"/>
      <c r="E99" s="330"/>
      <c r="F99" s="330"/>
    </row>
    <row r="100" spans="1:6">
      <c r="A100" s="1305" t="s">
        <v>73</v>
      </c>
      <c r="B100" s="1306">
        <v>581</v>
      </c>
      <c r="C100" s="330"/>
      <c r="D100" s="330"/>
      <c r="E100" s="330"/>
      <c r="F100" s="330"/>
    </row>
    <row r="101" spans="1:6">
      <c r="A101" s="1305" t="s">
        <v>74</v>
      </c>
      <c r="B101" s="1306">
        <v>141</v>
      </c>
      <c r="C101" s="330"/>
      <c r="D101" s="330"/>
      <c r="E101" s="330"/>
      <c r="F101" s="330"/>
    </row>
    <row r="102" spans="1:6">
      <c r="A102" s="1305" t="s">
        <v>75</v>
      </c>
      <c r="B102" s="1306">
        <v>117</v>
      </c>
      <c r="C102" s="330"/>
      <c r="D102" s="330"/>
      <c r="E102" s="330"/>
      <c r="F102" s="330"/>
    </row>
    <row r="103" spans="1:6">
      <c r="A103" s="1305" t="s">
        <v>76</v>
      </c>
      <c r="B103" s="1306">
        <v>374</v>
      </c>
      <c r="C103" s="330"/>
      <c r="D103" s="330"/>
      <c r="E103" s="330"/>
      <c r="F103" s="330"/>
    </row>
    <row r="104" spans="1:6">
      <c r="A104" s="1305" t="s">
        <v>77</v>
      </c>
      <c r="B104" s="1306">
        <v>4020</v>
      </c>
      <c r="C104" s="330"/>
      <c r="D104" s="330"/>
      <c r="E104" s="330"/>
      <c r="F104" s="330"/>
    </row>
    <row r="105" spans="1:6">
      <c r="A105" s="1300" t="s">
        <v>78</v>
      </c>
      <c r="B105" s="1309">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12</v>
      </c>
      <c r="C123" s="1306">
        <v>28</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134</v>
      </c>
      <c r="C129" s="330"/>
      <c r="D129" s="330"/>
      <c r="E129" s="330"/>
      <c r="F129" s="330"/>
    </row>
    <row r="130" spans="1:6">
      <c r="A130" s="1305" t="s">
        <v>294</v>
      </c>
      <c r="B130" s="1306">
        <v>1</v>
      </c>
      <c r="C130" s="330"/>
      <c r="D130" s="330"/>
      <c r="E130" s="330"/>
      <c r="F130" s="330"/>
    </row>
    <row r="131" spans="1:6">
      <c r="A131" s="1305" t="s">
        <v>295</v>
      </c>
      <c r="B131" s="1306">
        <v>1</v>
      </c>
      <c r="C131" s="330"/>
      <c r="D131" s="330"/>
      <c r="E131" s="330"/>
      <c r="F131" s="330"/>
    </row>
    <row r="132" spans="1:6">
      <c r="A132" s="1300" t="s">
        <v>296</v>
      </c>
      <c r="B132" s="1301">
        <v>12</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50543.432752066772</v>
      </c>
      <c r="C3" s="43" t="s">
        <v>169</v>
      </c>
      <c r="D3" s="43"/>
      <c r="E3" s="154"/>
      <c r="F3" s="43"/>
      <c r="G3" s="43"/>
      <c r="H3" s="43"/>
      <c r="I3" s="43"/>
      <c r="J3" s="43"/>
      <c r="K3" s="96"/>
    </row>
    <row r="4" spans="1:11">
      <c r="A4" s="359" t="s">
        <v>170</v>
      </c>
      <c r="B4" s="49">
        <f>IF(ISERROR('SEAP template'!B78+'SEAP template'!C78),0,'SEAP template'!B78+'SEAP template'!C78)</f>
        <v>3792.2962734385733</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0.20441827155782857</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124.71428571428569</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1413.7809999999999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1413.7809999999999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0.20441827155782857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289.00266838129841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30908.115000000002</v>
      </c>
      <c r="C5" s="17">
        <f>IF(ISERROR('Eigen informatie GS &amp; warmtenet'!B57),0,'Eigen informatie GS &amp; warmtenet'!B57)</f>
        <v>0</v>
      </c>
      <c r="D5" s="30">
        <f>(SUM(HH_hh_gas_kWh,HH_rest_gas_kWh)/1000)*0.902</f>
        <v>40420.165667010762</v>
      </c>
      <c r="E5" s="17">
        <f>B46*B57</f>
        <v>17339.909421274886</v>
      </c>
      <c r="F5" s="17">
        <f>B51*B62</f>
        <v>47847.174406518578</v>
      </c>
      <c r="G5" s="18"/>
      <c r="H5" s="17"/>
      <c r="I5" s="17"/>
      <c r="J5" s="17">
        <f>B50*B61+C50*C61</f>
        <v>4493.1326748094625</v>
      </c>
      <c r="K5" s="17"/>
      <c r="L5" s="17"/>
      <c r="M5" s="17"/>
      <c r="N5" s="17">
        <f>B48*B59+C48*C59</f>
        <v>17456.373648848999</v>
      </c>
      <c r="O5" s="17">
        <f>B69*B70*B71</f>
        <v>253.26</v>
      </c>
      <c r="P5" s="17">
        <f>B77*B78*B79/1000-B77*B78*B79/1000/B80</f>
        <v>457.6</v>
      </c>
    </row>
    <row r="6" spans="1:16">
      <c r="A6" s="16" t="s">
        <v>630</v>
      </c>
      <c r="B6" s="763">
        <f>kWh_PV_kleiner_dan_10kW</f>
        <v>3315.6375433790463</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34223.752543379051</v>
      </c>
      <c r="C8" s="21">
        <f>C5</f>
        <v>0</v>
      </c>
      <c r="D8" s="21">
        <f>D5</f>
        <v>40420.165667010762</v>
      </c>
      <c r="E8" s="21">
        <f>E5</f>
        <v>17339.909421274886</v>
      </c>
      <c r="F8" s="21">
        <f>F5</f>
        <v>47847.174406518578</v>
      </c>
      <c r="G8" s="21"/>
      <c r="H8" s="21"/>
      <c r="I8" s="21"/>
      <c r="J8" s="21">
        <f>J5</f>
        <v>4493.1326748094625</v>
      </c>
      <c r="K8" s="21"/>
      <c r="L8" s="21">
        <f>L5</f>
        <v>0</v>
      </c>
      <c r="M8" s="21">
        <f>M5</f>
        <v>0</v>
      </c>
      <c r="N8" s="21">
        <f>N5</f>
        <v>17456.373648848999</v>
      </c>
      <c r="O8" s="21">
        <f>O5</f>
        <v>253.26</v>
      </c>
      <c r="P8" s="21">
        <f>P5</f>
        <v>457.6</v>
      </c>
    </row>
    <row r="9" spans="1:16">
      <c r="B9" s="19"/>
      <c r="C9" s="19"/>
      <c r="D9" s="258"/>
      <c r="E9" s="19"/>
      <c r="F9" s="19"/>
      <c r="G9" s="19"/>
      <c r="H9" s="19"/>
      <c r="I9" s="19"/>
      <c r="J9" s="19"/>
      <c r="K9" s="19"/>
      <c r="L9" s="19"/>
      <c r="M9" s="19"/>
      <c r="N9" s="19"/>
      <c r="O9" s="19"/>
      <c r="P9" s="19"/>
    </row>
    <row r="10" spans="1:16">
      <c r="A10" s="24" t="s">
        <v>213</v>
      </c>
      <c r="B10" s="25">
        <f ca="1">'EF ele_warmte'!B12</f>
        <v>0.20441827155782857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6995.960341140385</v>
      </c>
      <c r="C12" s="23">
        <f ca="1">C10*C8</f>
        <v>0</v>
      </c>
      <c r="D12" s="23">
        <f>D8*D10</f>
        <v>8164.8734647361744</v>
      </c>
      <c r="E12" s="23">
        <f>E10*E8</f>
        <v>3936.1594386293991</v>
      </c>
      <c r="F12" s="23">
        <f>F10*F8</f>
        <v>12775.19556654046</v>
      </c>
      <c r="G12" s="23"/>
      <c r="H12" s="23"/>
      <c r="I12" s="23"/>
      <c r="J12" s="23">
        <f>J10*J8</f>
        <v>1590.5689668825496</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1016</v>
      </c>
      <c r="C18" s="166" t="s">
        <v>110</v>
      </c>
      <c r="D18" s="228"/>
      <c r="E18" s="15"/>
    </row>
    <row r="19" spans="1:7">
      <c r="A19" s="171" t="s">
        <v>71</v>
      </c>
      <c r="B19" s="37">
        <f>aantalw2001_ander</f>
        <v>1</v>
      </c>
      <c r="C19" s="166" t="s">
        <v>110</v>
      </c>
      <c r="D19" s="229"/>
      <c r="E19" s="15"/>
    </row>
    <row r="20" spans="1:7">
      <c r="A20" s="171" t="s">
        <v>72</v>
      </c>
      <c r="B20" s="37">
        <f>aantalw2001_propaan</f>
        <v>101</v>
      </c>
      <c r="C20" s="167">
        <f>IF(ISERROR(B20/SUM($B$20,$B$21,$B$22)*100),0,B20/SUM($B$20,$B$21,$B$22)*100)</f>
        <v>12.272174969623331</v>
      </c>
      <c r="D20" s="229"/>
      <c r="E20" s="15"/>
    </row>
    <row r="21" spans="1:7">
      <c r="A21" s="171" t="s">
        <v>73</v>
      </c>
      <c r="B21" s="37">
        <f>aantalw2001_elektriciteit</f>
        <v>581</v>
      </c>
      <c r="C21" s="167">
        <f>IF(ISERROR(B21/SUM($B$20,$B$21,$B$22)*100),0,B21/SUM($B$20,$B$21,$B$22)*100)</f>
        <v>70.59538274605103</v>
      </c>
      <c r="D21" s="229"/>
      <c r="E21" s="15"/>
    </row>
    <row r="22" spans="1:7">
      <c r="A22" s="171" t="s">
        <v>74</v>
      </c>
      <c r="B22" s="37">
        <f>aantalw2001_hout</f>
        <v>141</v>
      </c>
      <c r="C22" s="167">
        <f>IF(ISERROR(B22/SUM($B$20,$B$21,$B$22)*100),0,B22/SUM($B$20,$B$21,$B$22)*100)</f>
        <v>17.132442284325638</v>
      </c>
      <c r="D22" s="229"/>
      <c r="E22" s="15"/>
    </row>
    <row r="23" spans="1:7">
      <c r="A23" s="171" t="s">
        <v>75</v>
      </c>
      <c r="B23" s="37">
        <f>aantalw2001_niet_gespec</f>
        <v>117</v>
      </c>
      <c r="C23" s="166" t="s">
        <v>110</v>
      </c>
      <c r="D23" s="228"/>
      <c r="E23" s="15"/>
    </row>
    <row r="24" spans="1:7">
      <c r="A24" s="171" t="s">
        <v>76</v>
      </c>
      <c r="B24" s="37">
        <f>aantalw2001_steenkool</f>
        <v>374</v>
      </c>
      <c r="C24" s="166" t="s">
        <v>110</v>
      </c>
      <c r="D24" s="229"/>
      <c r="E24" s="15"/>
    </row>
    <row r="25" spans="1:7">
      <c r="A25" s="171" t="s">
        <v>77</v>
      </c>
      <c r="B25" s="37">
        <f>aantalw2001_stookolie</f>
        <v>4020</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736</v>
      </c>
      <c r="B28" s="37">
        <f>aantalHuishoudens</f>
        <v>7204</v>
      </c>
      <c r="C28" s="36"/>
      <c r="D28" s="228"/>
    </row>
    <row r="29" spans="1:7" s="15" customFormat="1">
      <c r="A29" s="230" t="s">
        <v>737</v>
      </c>
      <c r="B29" s="37">
        <f>SUM(HH_hh_gas_aantal,HH_rest_gas_aantal)</f>
        <v>3108</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3108</v>
      </c>
      <c r="C32" s="167">
        <f>IF(ISERROR(B32/SUM($B$32,$B$34,$B$35,$B$36,$B$38,$B$39)*100),0,B32/SUM($B$32,$B$34,$B$35,$B$36,$B$38,$B$39)*100)</f>
        <v>43.286908077994433</v>
      </c>
      <c r="D32" s="233"/>
      <c r="G32" s="15"/>
    </row>
    <row r="33" spans="1:7">
      <c r="A33" s="171" t="s">
        <v>71</v>
      </c>
      <c r="B33" s="34" t="s">
        <v>110</v>
      </c>
      <c r="C33" s="167"/>
      <c r="D33" s="233"/>
      <c r="G33" s="15"/>
    </row>
    <row r="34" spans="1:7">
      <c r="A34" s="171" t="s">
        <v>72</v>
      </c>
      <c r="B34" s="33">
        <f>IF((($B$28-$B$32-$B$39-$B$77-$B$38)*C20/100)&lt;0,0,($B$28-$B$32-$B$39-$B$77-$B$38)*C20/100)</f>
        <v>217.217496962333</v>
      </c>
      <c r="C34" s="167">
        <f>IF(ISERROR(B34/SUM($B$32,$B$34,$B$35,$B$36,$B$38,$B$39)*100),0,B34/SUM($B$32,$B$34,$B$35,$B$36,$B$38,$B$39)*100)</f>
        <v>3.0253133281661975</v>
      </c>
      <c r="D34" s="233"/>
      <c r="G34" s="15"/>
    </row>
    <row r="35" spans="1:7">
      <c r="A35" s="171" t="s">
        <v>73</v>
      </c>
      <c r="B35" s="33">
        <f>IF((($B$28-$B$32-$B$39-$B$77-$B$38)*C21/100)&lt;0,0,($B$28-$B$32-$B$39-$B$77-$B$38)*C21/100)</f>
        <v>1249.5382746051034</v>
      </c>
      <c r="C35" s="167">
        <f>IF(ISERROR(B35/SUM($B$32,$B$34,$B$35,$B$36,$B$38,$B$39)*100),0,B35/SUM($B$32,$B$34,$B$35,$B$36,$B$38,$B$39)*100)</f>
        <v>17.403040036282778</v>
      </c>
      <c r="D35" s="233"/>
      <c r="G35" s="15"/>
    </row>
    <row r="36" spans="1:7">
      <c r="A36" s="171" t="s">
        <v>74</v>
      </c>
      <c r="B36" s="33">
        <f>IF((($B$28-$B$32-$B$39-$B$77-$B$38)*C22/100)&lt;0,0,($B$28-$B$32-$B$39-$B$77-$B$38)*C22/100)</f>
        <v>303.24422843256383</v>
      </c>
      <c r="C36" s="167">
        <f>IF(ISERROR(B36/SUM($B$32,$B$34,$B$35,$B$36,$B$38,$B$39)*100),0,B36/SUM($B$32,$B$34,$B$35,$B$36,$B$38,$B$39)*100)</f>
        <v>4.2234572205092453</v>
      </c>
      <c r="D36" s="233"/>
      <c r="G36" s="15"/>
    </row>
    <row r="37" spans="1:7">
      <c r="A37" s="171" t="s">
        <v>75</v>
      </c>
      <c r="B37" s="34" t="s">
        <v>110</v>
      </c>
      <c r="C37" s="167"/>
      <c r="D37" s="173"/>
      <c r="G37" s="15"/>
    </row>
    <row r="38" spans="1:7">
      <c r="A38" s="171" t="s">
        <v>76</v>
      </c>
      <c r="B38" s="33">
        <f>IF((B24-(B29-B18)*0.1)&lt;0,0,B24-(B29-B18)*0.1)</f>
        <v>164.79999999999998</v>
      </c>
      <c r="C38" s="167">
        <f>IF(ISERROR(B38/SUM($B$32,$B$34,$B$35,$B$36,$B$38,$B$39)*100),0,B38/SUM($B$32,$B$34,$B$35,$B$36,$B$38,$B$39)*100)</f>
        <v>2.2952646239554313</v>
      </c>
      <c r="D38" s="234"/>
      <c r="G38" s="15"/>
    </row>
    <row r="39" spans="1:7">
      <c r="A39" s="171" t="s">
        <v>77</v>
      </c>
      <c r="B39" s="33">
        <f>IF((B25-(B29-B18))&lt;0,0,B25-(B29-B18)*0.9)</f>
        <v>2137.1999999999998</v>
      </c>
      <c r="C39" s="167">
        <f>IF(ISERROR(B39/SUM($B$32,$B$34,$B$35,$B$36,$B$38,$B$39)*100),0,B39/SUM($B$32,$B$34,$B$35,$B$36,$B$38,$B$39)*100)</f>
        <v>29.766016713091918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3108</v>
      </c>
      <c r="C44" s="34" t="s">
        <v>110</v>
      </c>
      <c r="D44" s="174"/>
    </row>
    <row r="45" spans="1:7">
      <c r="A45" s="171" t="s">
        <v>71</v>
      </c>
      <c r="B45" s="33" t="str">
        <f t="shared" si="0"/>
        <v>-</v>
      </c>
      <c r="C45" s="34" t="s">
        <v>110</v>
      </c>
      <c r="D45" s="174"/>
    </row>
    <row r="46" spans="1:7">
      <c r="A46" s="171" t="s">
        <v>72</v>
      </c>
      <c r="B46" s="33">
        <f t="shared" si="0"/>
        <v>217.217496962333</v>
      </c>
      <c r="C46" s="34" t="s">
        <v>110</v>
      </c>
      <c r="D46" s="174"/>
    </row>
    <row r="47" spans="1:7">
      <c r="A47" s="171" t="s">
        <v>73</v>
      </c>
      <c r="B47" s="33">
        <f t="shared" si="0"/>
        <v>1249.5382746051034</v>
      </c>
      <c r="C47" s="34" t="s">
        <v>110</v>
      </c>
      <c r="D47" s="174"/>
    </row>
    <row r="48" spans="1:7">
      <c r="A48" s="171" t="s">
        <v>74</v>
      </c>
      <c r="B48" s="33">
        <f t="shared" si="0"/>
        <v>303.24422843256383</v>
      </c>
      <c r="C48" s="33">
        <f>B48*10</f>
        <v>3032.4422843256384</v>
      </c>
      <c r="D48" s="234"/>
    </row>
    <row r="49" spans="1:6">
      <c r="A49" s="171" t="s">
        <v>75</v>
      </c>
      <c r="B49" s="33" t="str">
        <f t="shared" si="0"/>
        <v>-</v>
      </c>
      <c r="C49" s="34" t="s">
        <v>110</v>
      </c>
      <c r="D49" s="234"/>
    </row>
    <row r="50" spans="1:6">
      <c r="A50" s="171" t="s">
        <v>76</v>
      </c>
      <c r="B50" s="33">
        <f t="shared" si="0"/>
        <v>164.79999999999998</v>
      </c>
      <c r="C50" s="33">
        <f>B50*2</f>
        <v>329.59999999999997</v>
      </c>
      <c r="D50" s="234"/>
    </row>
    <row r="51" spans="1:6">
      <c r="A51" s="171" t="s">
        <v>77</v>
      </c>
      <c r="B51" s="33">
        <f t="shared" si="0"/>
        <v>2137.1999999999998</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162</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24</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10314.7094</v>
      </c>
      <c r="C5" s="17">
        <f>IF(ISERROR('Eigen informatie GS &amp; warmtenet'!B58),0,'Eigen informatie GS &amp; warmtenet'!B58)</f>
        <v>0</v>
      </c>
      <c r="D5" s="30">
        <f>SUM(D6:D12)</f>
        <v>7466.4940767001572</v>
      </c>
      <c r="E5" s="17">
        <f>SUM(E6:E12)</f>
        <v>108.87143413947527</v>
      </c>
      <c r="F5" s="17">
        <f>SUM(F6:F12)</f>
        <v>1482.4423737163488</v>
      </c>
      <c r="G5" s="18"/>
      <c r="H5" s="17"/>
      <c r="I5" s="17"/>
      <c r="J5" s="17">
        <f>SUM(J6:J12)</f>
        <v>0</v>
      </c>
      <c r="K5" s="17"/>
      <c r="L5" s="17"/>
      <c r="M5" s="17"/>
      <c r="N5" s="17">
        <f>SUM(N6:N12)</f>
        <v>600.92464755095193</v>
      </c>
      <c r="O5" s="17">
        <f>B38*B39*B40</f>
        <v>1.5633333333333335</v>
      </c>
      <c r="P5" s="17">
        <f>B46*B47*B48/1000-B46*B47*B48/1000/B49</f>
        <v>19.066666666666666</v>
      </c>
      <c r="R5" s="32"/>
    </row>
    <row r="6" spans="1:18">
      <c r="A6" s="32" t="s">
        <v>53</v>
      </c>
      <c r="B6" s="37">
        <f>B26</f>
        <v>2249.4879999999998</v>
      </c>
      <c r="C6" s="33"/>
      <c r="D6" s="37">
        <f>IF(ISERROR(TER_kantoor_gas_kWh/1000),0,TER_kantoor_gas_kWh/1000)*0.902</f>
        <v>3561.0144531577366</v>
      </c>
      <c r="E6" s="33">
        <f>$C$26*'E Balans VL '!I12/100/3.6*1000000</f>
        <v>6.5170967826877764</v>
      </c>
      <c r="F6" s="33">
        <f>$C$26*('E Balans VL '!L12+'E Balans VL '!N12)/100/3.6*1000000</f>
        <v>254.59248153685206</v>
      </c>
      <c r="G6" s="34"/>
      <c r="H6" s="33"/>
      <c r="I6" s="33"/>
      <c r="J6" s="33">
        <f>$C$26*('E Balans VL '!D12+'E Balans VL '!E12)/100/3.6*1000000</f>
        <v>0</v>
      </c>
      <c r="K6" s="33"/>
      <c r="L6" s="33"/>
      <c r="M6" s="33"/>
      <c r="N6" s="33">
        <f>$C$26*'E Balans VL '!Y12/100/3.6*1000000</f>
        <v>22.515717383236407</v>
      </c>
      <c r="O6" s="33"/>
      <c r="P6" s="33"/>
      <c r="R6" s="32"/>
    </row>
    <row r="7" spans="1:18">
      <c r="A7" s="32" t="s">
        <v>52</v>
      </c>
      <c r="B7" s="37">
        <f t="shared" ref="B7:B12" si="0">B27</f>
        <v>938.52190000000007</v>
      </c>
      <c r="C7" s="33"/>
      <c r="D7" s="37">
        <f>IF(ISERROR(TER_horeca_gas_kWh/1000),0,TER_horeca_gas_kWh/1000)*0.902</f>
        <v>427.3827841301491</v>
      </c>
      <c r="E7" s="33">
        <f>$C$27*'E Balans VL '!I9/100/3.6*1000000</f>
        <v>39.396527183635698</v>
      </c>
      <c r="F7" s="33">
        <f>$C$27*('E Balans VL '!L9+'E Balans VL '!N9)/100/3.6*1000000</f>
        <v>201.66067641922376</v>
      </c>
      <c r="G7" s="34"/>
      <c r="H7" s="33"/>
      <c r="I7" s="33"/>
      <c r="J7" s="33">
        <f>$C$27*('E Balans VL '!D9+'E Balans VL '!E9)/100/3.6*1000000</f>
        <v>0</v>
      </c>
      <c r="K7" s="33"/>
      <c r="L7" s="33"/>
      <c r="M7" s="33"/>
      <c r="N7" s="33">
        <f>$C$27*'E Balans VL '!Y9/100/3.6*1000000</f>
        <v>0.24184888595823226</v>
      </c>
      <c r="O7" s="33"/>
      <c r="P7" s="33"/>
      <c r="R7" s="32"/>
    </row>
    <row r="8" spans="1:18">
      <c r="A8" s="6" t="s">
        <v>51</v>
      </c>
      <c r="B8" s="37">
        <f t="shared" si="0"/>
        <v>3970.51</v>
      </c>
      <c r="C8" s="33"/>
      <c r="D8" s="37">
        <f>IF(ISERROR(TER_handel_gas_kWh/1000),0,TER_handel_gas_kWh/1000)*0.902</f>
        <v>805.30536508101034</v>
      </c>
      <c r="E8" s="33">
        <f>$C$28*'E Balans VL '!I13/100/3.6*1000000</f>
        <v>42.646581961535588</v>
      </c>
      <c r="F8" s="33">
        <f>$C$28*('E Balans VL '!L13+'E Balans VL '!N13)/100/3.6*1000000</f>
        <v>514.01530729566639</v>
      </c>
      <c r="G8" s="34"/>
      <c r="H8" s="33"/>
      <c r="I8" s="33"/>
      <c r="J8" s="33">
        <f>$C$28*('E Balans VL '!D13+'E Balans VL '!E13)/100/3.6*1000000</f>
        <v>0</v>
      </c>
      <c r="K8" s="33"/>
      <c r="L8" s="33"/>
      <c r="M8" s="33"/>
      <c r="N8" s="33">
        <f>$C$28*'E Balans VL '!Y13/100/3.6*1000000</f>
        <v>32.208993919272331</v>
      </c>
      <c r="O8" s="33"/>
      <c r="P8" s="33"/>
      <c r="R8" s="32"/>
    </row>
    <row r="9" spans="1:18">
      <c r="A9" s="32" t="s">
        <v>50</v>
      </c>
      <c r="B9" s="37">
        <f t="shared" si="0"/>
        <v>469.98409999999996</v>
      </c>
      <c r="C9" s="33"/>
      <c r="D9" s="37">
        <f>IF(ISERROR(TER_gezond_gas_kWh/1000),0,TER_gezond_gas_kWh/1000)*0.902</f>
        <v>97.968080783018806</v>
      </c>
      <c r="E9" s="33">
        <f>$C$29*'E Balans VL '!I10/100/3.6*1000000</f>
        <v>0.37413774135720795</v>
      </c>
      <c r="F9" s="33">
        <f>$C$29*('E Balans VL '!L10+'E Balans VL '!N10)/100/3.6*1000000</f>
        <v>57.133359236992547</v>
      </c>
      <c r="G9" s="34"/>
      <c r="H9" s="33"/>
      <c r="I9" s="33"/>
      <c r="J9" s="33">
        <f>$C$29*('E Balans VL '!D10+'E Balans VL '!E10)/100/3.6*1000000</f>
        <v>0</v>
      </c>
      <c r="K9" s="33"/>
      <c r="L9" s="33"/>
      <c r="M9" s="33"/>
      <c r="N9" s="33">
        <f>$C$29*'E Balans VL '!Y10/100/3.6*1000000</f>
        <v>3.7964070456937424</v>
      </c>
      <c r="O9" s="33"/>
      <c r="P9" s="33"/>
      <c r="R9" s="32"/>
    </row>
    <row r="10" spans="1:18">
      <c r="A10" s="32" t="s">
        <v>49</v>
      </c>
      <c r="B10" s="37">
        <f t="shared" si="0"/>
        <v>528.2242</v>
      </c>
      <c r="C10" s="33"/>
      <c r="D10" s="37">
        <f>IF(ISERROR(TER_ander_gas_kWh/1000),0,TER_ander_gas_kWh/1000)*0.902</f>
        <v>141.14226244059398</v>
      </c>
      <c r="E10" s="33">
        <f>$C$30*'E Balans VL '!I14/100/3.6*1000000</f>
        <v>1.810252082742392</v>
      </c>
      <c r="F10" s="33">
        <f>$C$30*('E Balans VL '!L14+'E Balans VL '!N14)/100/3.6*1000000</f>
        <v>117.98382177695539</v>
      </c>
      <c r="G10" s="34"/>
      <c r="H10" s="33"/>
      <c r="I10" s="33"/>
      <c r="J10" s="33">
        <f>$C$30*('E Balans VL '!D14+'E Balans VL '!E14)/100/3.6*1000000</f>
        <v>0</v>
      </c>
      <c r="K10" s="33"/>
      <c r="L10" s="33"/>
      <c r="M10" s="33"/>
      <c r="N10" s="33">
        <f>$C$30*'E Balans VL '!Y14/100/3.6*1000000</f>
        <v>372.0840121123984</v>
      </c>
      <c r="O10" s="33"/>
      <c r="P10" s="33"/>
      <c r="R10" s="32"/>
    </row>
    <row r="11" spans="1:18">
      <c r="A11" s="32" t="s">
        <v>54</v>
      </c>
      <c r="B11" s="37">
        <f t="shared" si="0"/>
        <v>165.72620000000001</v>
      </c>
      <c r="C11" s="33"/>
      <c r="D11" s="37">
        <f>IF(ISERROR(TER_onderwijs_gas_kWh/1000),0,TER_onderwijs_gas_kWh/1000)*0.902</f>
        <v>0</v>
      </c>
      <c r="E11" s="33">
        <f>$C$31*'E Balans VL '!I11/100/3.6*1000000</f>
        <v>0.11456141809472842</v>
      </c>
      <c r="F11" s="33">
        <f>$C$31*('E Balans VL '!L11+'E Balans VL '!N11)/100/3.6*1000000</f>
        <v>43.38230514052907</v>
      </c>
      <c r="G11" s="34"/>
      <c r="H11" s="33"/>
      <c r="I11" s="33"/>
      <c r="J11" s="33">
        <f>$C$31*('E Balans VL '!D11+'E Balans VL '!E11)/100/3.6*1000000</f>
        <v>0</v>
      </c>
      <c r="K11" s="33"/>
      <c r="L11" s="33"/>
      <c r="M11" s="33"/>
      <c r="N11" s="33">
        <f>$C$31*'E Balans VL '!Y11/100/3.6*1000000</f>
        <v>0.16496631664340622</v>
      </c>
      <c r="O11" s="33"/>
      <c r="P11" s="33"/>
      <c r="R11" s="32"/>
    </row>
    <row r="12" spans="1:18">
      <c r="A12" s="32" t="s">
        <v>259</v>
      </c>
      <c r="B12" s="37">
        <f t="shared" si="0"/>
        <v>1992.2550000000001</v>
      </c>
      <c r="C12" s="33"/>
      <c r="D12" s="37">
        <f>IF(ISERROR(TER_rest_gas_kWh/1000),0,TER_rest_gas_kWh/1000)*0.902</f>
        <v>2433.6811311076485</v>
      </c>
      <c r="E12" s="33">
        <f>$C$32*'E Balans VL '!I8/100/3.6*1000000</f>
        <v>18.012276969421887</v>
      </c>
      <c r="F12" s="33">
        <f>$C$32*('E Balans VL '!L8+'E Balans VL '!N8)/100/3.6*1000000</f>
        <v>293.67442231012967</v>
      </c>
      <c r="G12" s="34"/>
      <c r="H12" s="33"/>
      <c r="I12" s="33"/>
      <c r="J12" s="33">
        <f>$C$32*('E Balans VL '!D8+'E Balans VL '!E8)/100/3.6*1000000</f>
        <v>0</v>
      </c>
      <c r="K12" s="33"/>
      <c r="L12" s="33"/>
      <c r="M12" s="33"/>
      <c r="N12" s="33">
        <f>$C$32*'E Balans VL '!Y8/100/3.6*1000000</f>
        <v>169.91270188774936</v>
      </c>
      <c r="O12" s="33"/>
      <c r="P12" s="33"/>
      <c r="R12" s="32"/>
    </row>
    <row r="13" spans="1:18">
      <c r="A13" s="16" t="s">
        <v>493</v>
      </c>
      <c r="B13" s="247">
        <f ca="1">'lokale energieproductie'!N39+'lokale energieproductie'!N32</f>
        <v>43.649999999999991</v>
      </c>
      <c r="C13" s="247">
        <f ca="1">'lokale energieproductie'!O39+'lokale energieproductie'!O32</f>
        <v>62.357142857142847</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-124.71428571428569</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10358.359399999999</v>
      </c>
      <c r="C16" s="21">
        <f t="shared" ca="1" si="1"/>
        <v>62.357142857142847</v>
      </c>
      <c r="D16" s="21">
        <f t="shared" ca="1" si="1"/>
        <v>7466.4940767001572</v>
      </c>
      <c r="E16" s="21">
        <f t="shared" si="1"/>
        <v>108.87143413947527</v>
      </c>
      <c r="F16" s="21">
        <f t="shared" ca="1" si="1"/>
        <v>1482.4423737163488</v>
      </c>
      <c r="G16" s="21">
        <f t="shared" si="1"/>
        <v>0</v>
      </c>
      <c r="H16" s="21">
        <f t="shared" si="1"/>
        <v>0</v>
      </c>
      <c r="I16" s="21">
        <f t="shared" si="1"/>
        <v>0</v>
      </c>
      <c r="J16" s="21">
        <f t="shared" si="1"/>
        <v>0</v>
      </c>
      <c r="K16" s="21">
        <f t="shared" si="1"/>
        <v>0</v>
      </c>
      <c r="L16" s="21">
        <f t="shared" ca="1" si="1"/>
        <v>0</v>
      </c>
      <c r="M16" s="21">
        <f t="shared" si="1"/>
        <v>0</v>
      </c>
      <c r="N16" s="21">
        <f t="shared" ca="1" si="1"/>
        <v>476.21036183666627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0.20441827155782857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2117.4379247227862</v>
      </c>
      <c r="C20" s="23">
        <f t="shared" ref="C20:P20" ca="1" si="2">C16*C18</f>
        <v>0</v>
      </c>
      <c r="D20" s="23">
        <f t="shared" ca="1" si="2"/>
        <v>1508.2318034934319</v>
      </c>
      <c r="E20" s="23">
        <f t="shared" si="2"/>
        <v>24.713815549660886</v>
      </c>
      <c r="F20" s="23">
        <f t="shared" ca="1" si="2"/>
        <v>395.81211378226516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2249.4879999999998</v>
      </c>
      <c r="C26" s="39">
        <f>IF(ISERROR(B26*3.6/1000000/'E Balans VL '!Z12*100),0,B26*3.6/1000000/'E Balans VL '!Z12*100)</f>
        <v>4.9412604588551776E-2</v>
      </c>
      <c r="D26" s="237" t="s">
        <v>691</v>
      </c>
      <c r="F26" s="6"/>
    </row>
    <row r="27" spans="1:18">
      <c r="A27" s="231" t="s">
        <v>52</v>
      </c>
      <c r="B27" s="33">
        <f>IF(ISERROR(TER_horeca_ele_kWh/1000),0,TER_horeca_ele_kWh/1000)</f>
        <v>938.52190000000007</v>
      </c>
      <c r="C27" s="39">
        <f>IF(ISERROR(B27*3.6/1000000/'E Balans VL '!Z9*100),0,B27*3.6/1000000/'E Balans VL '!Z9*100)</f>
        <v>7.5419589961795361E-2</v>
      </c>
      <c r="D27" s="237" t="s">
        <v>691</v>
      </c>
      <c r="F27" s="6"/>
    </row>
    <row r="28" spans="1:18">
      <c r="A28" s="171" t="s">
        <v>51</v>
      </c>
      <c r="B28" s="33">
        <f>IF(ISERROR(TER_handel_ele_kWh/1000),0,TER_handel_ele_kWh/1000)</f>
        <v>3970.51</v>
      </c>
      <c r="C28" s="39">
        <f>IF(ISERROR(B28*3.6/1000000/'E Balans VL '!Z13*100),0,B28*3.6/1000000/'E Balans VL '!Z13*100)</f>
        <v>0.11740520684347253</v>
      </c>
      <c r="D28" s="237" t="s">
        <v>691</v>
      </c>
      <c r="F28" s="6"/>
    </row>
    <row r="29" spans="1:18">
      <c r="A29" s="231" t="s">
        <v>50</v>
      </c>
      <c r="B29" s="33">
        <f>IF(ISERROR(TER_gezond_ele_kWh/1000),0,TER_gezond_ele_kWh/1000)</f>
        <v>469.98409999999996</v>
      </c>
      <c r="C29" s="39">
        <f>IF(ISERROR(B29*3.6/1000000/'E Balans VL '!Z10*100),0,B29*3.6/1000000/'E Balans VL '!Z10*100)</f>
        <v>5.2955074150145727E-2</v>
      </c>
      <c r="D29" s="237" t="s">
        <v>691</v>
      </c>
      <c r="F29" s="6"/>
    </row>
    <row r="30" spans="1:18">
      <c r="A30" s="231" t="s">
        <v>49</v>
      </c>
      <c r="B30" s="33">
        <f>IF(ISERROR(TER_ander_ele_kWh/1000),0,TER_ander_ele_kWh/1000)</f>
        <v>528.2242</v>
      </c>
      <c r="C30" s="39">
        <f>IF(ISERROR(B30*3.6/1000000/'E Balans VL '!Z14*100),0,B30*3.6/1000000/'E Balans VL '!Z14*100)</f>
        <v>3.9948693287516795E-2</v>
      </c>
      <c r="D30" s="237" t="s">
        <v>691</v>
      </c>
      <c r="F30" s="6"/>
    </row>
    <row r="31" spans="1:18">
      <c r="A31" s="231" t="s">
        <v>54</v>
      </c>
      <c r="B31" s="33">
        <f>IF(ISERROR(TER_onderwijs_ele_kWh/1000),0,TER_onderwijs_ele_kWh/1000)</f>
        <v>165.72620000000001</v>
      </c>
      <c r="C31" s="39">
        <f>IF(ISERROR(B31*3.6/1000000/'E Balans VL '!Z11*100),0,B31*3.6/1000000/'E Balans VL '!Z11*100)</f>
        <v>3.4400911951427582E-2</v>
      </c>
      <c r="D31" s="237" t="s">
        <v>691</v>
      </c>
    </row>
    <row r="32" spans="1:18">
      <c r="A32" s="231" t="s">
        <v>259</v>
      </c>
      <c r="B32" s="33">
        <f>IF(ISERROR(TER_rest_ele_kWh/1000),0,TER_rest_ele_kWh/1000)</f>
        <v>1992.2550000000001</v>
      </c>
      <c r="C32" s="39">
        <f>IF(ISERROR(B32*3.6/1000000/'E Balans VL '!Z8*100),0,B32*3.6/1000000/'E Balans VL '!Z8*100)</f>
        <v>1.6783576371072997E-2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2635.9881100000002</v>
      </c>
      <c r="C5" s="17">
        <f>IF(ISERROR('Eigen informatie GS &amp; warmtenet'!B59),0,'Eigen informatie GS &amp; warmtenet'!B59)</f>
        <v>0</v>
      </c>
      <c r="D5" s="30">
        <f>SUM(D6:D15)</f>
        <v>1389.7571668974892</v>
      </c>
      <c r="E5" s="17">
        <f>SUM(E6:E15)</f>
        <v>286.0039514948603</v>
      </c>
      <c r="F5" s="17">
        <f>SUM(F6:F15)</f>
        <v>1545.94262838805</v>
      </c>
      <c r="G5" s="18"/>
      <c r="H5" s="17"/>
      <c r="I5" s="17"/>
      <c r="J5" s="17">
        <f>SUM(J6:J15)</f>
        <v>13.807129871844239</v>
      </c>
      <c r="K5" s="17"/>
      <c r="L5" s="17"/>
      <c r="M5" s="17"/>
      <c r="N5" s="17">
        <f>SUM(N6:N15)</f>
        <v>313.34815304211241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46.681779999999996</v>
      </c>
      <c r="C8" s="33"/>
      <c r="D8" s="37">
        <f>IF( ISERROR(IND_metaal_Gas_kWH/1000),0,IND_metaal_Gas_kWH/1000)*0.902</f>
        <v>32.197866730116232</v>
      </c>
      <c r="E8" s="33">
        <f>C30*'E Balans VL '!I18/100/3.6*1000000</f>
        <v>1.1682815706702467</v>
      </c>
      <c r="F8" s="33">
        <f>C30*'E Balans VL '!L18/100/3.6*1000000+C30*'E Balans VL '!N18/100/3.6*1000000</f>
        <v>14.63030205911566</v>
      </c>
      <c r="G8" s="34"/>
      <c r="H8" s="33"/>
      <c r="I8" s="33"/>
      <c r="J8" s="40">
        <f>C30*'E Balans VL '!D18/100/3.6*1000000+C30*'E Balans VL '!E18/100/3.6*1000000</f>
        <v>0</v>
      </c>
      <c r="K8" s="33"/>
      <c r="L8" s="33"/>
      <c r="M8" s="33"/>
      <c r="N8" s="33">
        <f>C30*'E Balans VL '!Y18/100/3.6*1000000</f>
        <v>1.1727674633834426</v>
      </c>
      <c r="O8" s="33"/>
      <c r="P8" s="33"/>
      <c r="R8" s="32"/>
    </row>
    <row r="9" spans="1:18">
      <c r="A9" s="6" t="s">
        <v>32</v>
      </c>
      <c r="B9" s="37">
        <f t="shared" si="0"/>
        <v>751.58749999999998</v>
      </c>
      <c r="C9" s="33"/>
      <c r="D9" s="37">
        <f>IF( ISERROR(IND_andere_gas_kWh/1000),0,IND_andere_gas_kWh/1000)*0.902</f>
        <v>381.67393106862579</v>
      </c>
      <c r="E9" s="33">
        <f>C31*'E Balans VL '!I19/100/3.6*1000000</f>
        <v>206.65573609690361</v>
      </c>
      <c r="F9" s="33">
        <f>C31*'E Balans VL '!L19/100/3.6*1000000+C31*'E Balans VL '!N19/100/3.6*1000000</f>
        <v>592.38173561514031</v>
      </c>
      <c r="G9" s="34"/>
      <c r="H9" s="33"/>
      <c r="I9" s="33"/>
      <c r="J9" s="40">
        <f>C31*'E Balans VL '!D19/100/3.6*1000000+C31*'E Balans VL '!E19/100/3.6*1000000</f>
        <v>0</v>
      </c>
      <c r="K9" s="33"/>
      <c r="L9" s="33"/>
      <c r="M9" s="33"/>
      <c r="N9" s="33">
        <f>C31*'E Balans VL '!Y19/100/3.6*1000000</f>
        <v>60.548362616976632</v>
      </c>
      <c r="O9" s="33"/>
      <c r="P9" s="33"/>
      <c r="R9" s="32"/>
    </row>
    <row r="10" spans="1:18">
      <c r="A10" s="6" t="s">
        <v>40</v>
      </c>
      <c r="B10" s="37">
        <f t="shared" si="0"/>
        <v>319.06620000000004</v>
      </c>
      <c r="C10" s="33"/>
      <c r="D10" s="37">
        <f>IF( ISERROR(IND_voed_gas_kWh/1000),0,IND_voed_gas_kWh/1000)*0.902</f>
        <v>350.53593950522497</v>
      </c>
      <c r="E10" s="33">
        <f>C32*'E Balans VL '!I20/100/3.6*1000000</f>
        <v>3.2527041344274461</v>
      </c>
      <c r="F10" s="33">
        <f>C32*'E Balans VL '!L20/100/3.6*1000000+C32*'E Balans VL '!N20/100/3.6*1000000</f>
        <v>602.71405623355315</v>
      </c>
      <c r="G10" s="34"/>
      <c r="H10" s="33"/>
      <c r="I10" s="33"/>
      <c r="J10" s="40">
        <f>C32*'E Balans VL '!D20/100/3.6*1000000+C32*'E Balans VL '!E20/100/3.6*1000000</f>
        <v>7.6362981553329572</v>
      </c>
      <c r="K10" s="33"/>
      <c r="L10" s="33"/>
      <c r="M10" s="33"/>
      <c r="N10" s="33">
        <f>C32*'E Balans VL '!Y20/100/3.6*1000000</f>
        <v>168.1846393195886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47.771629999999995</v>
      </c>
      <c r="C13" s="33"/>
      <c r="D13" s="37">
        <f>IF( ISERROR(IND_papier_gas_kWh/1000),0,IND_papier_gas_kWh/1000)*0.902</f>
        <v>0</v>
      </c>
      <c r="E13" s="33">
        <f>C35*'E Balans VL '!I23/100/3.6*1000000</f>
        <v>9.8938270237380194E-2</v>
      </c>
      <c r="F13" s="33">
        <f>C35*'E Balans VL '!L23/100/3.6*1000000+C35*'E Balans VL '!N23/100/3.6*1000000</f>
        <v>0.94741383713475646</v>
      </c>
      <c r="G13" s="34"/>
      <c r="H13" s="33"/>
      <c r="I13" s="33"/>
      <c r="J13" s="40">
        <f>C35*'E Balans VL '!D23/100/3.6*1000000+C35*'E Balans VL '!E23/100/3.6*1000000</f>
        <v>0</v>
      </c>
      <c r="K13" s="33"/>
      <c r="L13" s="33"/>
      <c r="M13" s="33"/>
      <c r="N13" s="33">
        <f>C35*'E Balans VL '!Y23/100/3.6*1000000</f>
        <v>3.3132040044429147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1470.8810000000001</v>
      </c>
      <c r="C15" s="33"/>
      <c r="D15" s="37">
        <f>IF( ISERROR(IND_rest_gas_kWh/1000),0,IND_rest_gas_kWh/1000)*0.902</f>
        <v>625.34942959352213</v>
      </c>
      <c r="E15" s="33">
        <f>C37*'E Balans VL '!I15/100/3.6*1000000</f>
        <v>74.828291422621632</v>
      </c>
      <c r="F15" s="33">
        <f>C37*'E Balans VL '!L15/100/3.6*1000000+C37*'E Balans VL '!N15/100/3.6*1000000</f>
        <v>335.26912064310619</v>
      </c>
      <c r="G15" s="34"/>
      <c r="H15" s="33"/>
      <c r="I15" s="33"/>
      <c r="J15" s="40">
        <f>C37*'E Balans VL '!D15/100/3.6*1000000+C37*'E Balans VL '!E15/100/3.6*1000000</f>
        <v>6.1708317165112829</v>
      </c>
      <c r="K15" s="33"/>
      <c r="L15" s="33"/>
      <c r="M15" s="33"/>
      <c r="N15" s="33">
        <f>C37*'E Balans VL '!Y15/100/3.6*1000000</f>
        <v>80.129179637720839</v>
      </c>
      <c r="O15" s="33"/>
      <c r="P15" s="33"/>
      <c r="R15" s="32"/>
    </row>
    <row r="16" spans="1:18">
      <c r="A16" s="16" t="s">
        <v>493</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2635.9881100000002</v>
      </c>
      <c r="C18" s="21">
        <f>C5+C16</f>
        <v>0</v>
      </c>
      <c r="D18" s="21">
        <f>MAX((D5+D16),0)</f>
        <v>1389.7571668974892</v>
      </c>
      <c r="E18" s="21">
        <f>MAX((E5+E16),0)</f>
        <v>286.0039514948603</v>
      </c>
      <c r="F18" s="21">
        <f>MAX((F5+F16),0)</f>
        <v>1545.94262838805</v>
      </c>
      <c r="G18" s="21"/>
      <c r="H18" s="21"/>
      <c r="I18" s="21"/>
      <c r="J18" s="21">
        <f>MAX((J5+J16),0)</f>
        <v>13.807129871844239</v>
      </c>
      <c r="K18" s="21"/>
      <c r="L18" s="21">
        <f>MAX((L5+L16),0)</f>
        <v>0</v>
      </c>
      <c r="M18" s="21"/>
      <c r="N18" s="21">
        <f>MAX((N5+N16),0)</f>
        <v>313.34815304211241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0.20441827155782857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538.84413329318738</v>
      </c>
      <c r="C22" s="23">
        <f ca="1">C18*C20</f>
        <v>0</v>
      </c>
      <c r="D22" s="23">
        <f>D18*D20</f>
        <v>280.73094771329284</v>
      </c>
      <c r="E22" s="23">
        <f>E18*E20</f>
        <v>64.922896989333296</v>
      </c>
      <c r="F22" s="23">
        <f>F18*F20</f>
        <v>412.76668177960937</v>
      </c>
      <c r="G22" s="23"/>
      <c r="H22" s="23"/>
      <c r="I22" s="23"/>
      <c r="J22" s="23">
        <f>J18*J20</f>
        <v>4.88772397463286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46.681779999999996</v>
      </c>
      <c r="C30" s="39">
        <f>IF(ISERROR(B30*3.6/1000000/'E Balans VL '!Z18*100),0,B30*3.6/1000000/'E Balans VL '!Z18*100)</f>
        <v>6.5338935124953455E-3</v>
      </c>
      <c r="D30" s="237" t="s">
        <v>691</v>
      </c>
    </row>
    <row r="31" spans="1:18">
      <c r="A31" s="6" t="s">
        <v>32</v>
      </c>
      <c r="B31" s="37">
        <f>IF( ISERROR(IND_ander_ele_kWh/1000),0,IND_ander_ele_kWh/1000)</f>
        <v>751.58749999999998</v>
      </c>
      <c r="C31" s="39">
        <f>IF(ISERROR(B31*3.6/1000000/'E Balans VL '!Z19*100),0,B31*3.6/1000000/'E Balans VL '!Z19*100)</f>
        <v>3.289686295018511E-2</v>
      </c>
      <c r="D31" s="237" t="s">
        <v>691</v>
      </c>
    </row>
    <row r="32" spans="1:18">
      <c r="A32" s="171" t="s">
        <v>40</v>
      </c>
      <c r="B32" s="37">
        <f>IF( ISERROR(IND_voed_ele_kWh/1000),0,IND_voed_ele_kWh/1000)</f>
        <v>319.06620000000004</v>
      </c>
      <c r="C32" s="39">
        <f>IF(ISERROR(B32*3.6/1000000/'E Balans VL '!Z20*100),0,B32*3.6/1000000/'E Balans VL '!Z20*100)</f>
        <v>7.8990195454134327E-2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47.771629999999995</v>
      </c>
      <c r="C35" s="39">
        <f>IF(ISERROR(B35*3.6/1000000/'E Balans VL '!Z22*100),0,B35*3.6/1000000/'E Balans VL '!Z22*100)</f>
        <v>1.3555639616242745E-3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1470.8810000000001</v>
      </c>
      <c r="C37" s="39">
        <f>IF(ISERROR(B37*3.6/1000000/'E Balans VL '!Z15*100),0,B37*3.6/1000000/'E Balans VL '!Z15*100)</f>
        <v>1.0906330789516442E-2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1143.0952</v>
      </c>
      <c r="C5" s="17">
        <f>'Eigen informatie GS &amp; warmtenet'!B60</f>
        <v>0</v>
      </c>
      <c r="D5" s="30">
        <f>IF(ISERROR(SUM(LB_lb_gas_kWh,LB_rest_gas_kWh)/1000),0,SUM(LB_lb_gas_kWh,LB_rest_gas_kWh)/1000)*0.902</f>
        <v>128.95803724700616</v>
      </c>
      <c r="E5" s="17">
        <f>B17*'E Balans VL '!I25/3.6*1000000/100</f>
        <v>10.587826514679426</v>
      </c>
      <c r="F5" s="17">
        <f>B17*('E Balans VL '!L25/3.6*1000000+'E Balans VL '!N25/3.6*1000000)/100</f>
        <v>2900.2502818121307</v>
      </c>
      <c r="G5" s="18"/>
      <c r="H5" s="17"/>
      <c r="I5" s="17"/>
      <c r="J5" s="17">
        <f>('E Balans VL '!D25+'E Balans VL '!E25)/3.6*1000000*landbouw!B17/100</f>
        <v>175.24925113966444</v>
      </c>
      <c r="K5" s="17"/>
      <c r="L5" s="17">
        <f>L6*(-1)</f>
        <v>0</v>
      </c>
      <c r="M5" s="17"/>
      <c r="N5" s="17">
        <f>N6*(-1)</f>
        <v>124.71428571428569</v>
      </c>
      <c r="O5" s="17"/>
      <c r="P5" s="17"/>
      <c r="R5" s="32"/>
    </row>
    <row r="6" spans="1:18">
      <c r="A6" s="16" t="s">
        <v>493</v>
      </c>
      <c r="B6" s="17" t="s">
        <v>210</v>
      </c>
      <c r="C6" s="17">
        <f>'lokale energieproductie'!O40+'lokale energieproductie'!O33</f>
        <v>62.357142857142847</v>
      </c>
      <c r="D6" s="308">
        <f>('lokale energieproductie'!P33+'lokale energieproductie'!P40)*(-1)</f>
        <v>0</v>
      </c>
      <c r="E6" s="248"/>
      <c r="F6" s="308">
        <f>('lokale energieproductie'!S33+'lokale energieproductie'!S869)*(-1)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1143.0952</v>
      </c>
      <c r="C8" s="21">
        <f>C5+C6</f>
        <v>62.357142857142847</v>
      </c>
      <c r="D8" s="21">
        <f>MAX((D5+D6),0)</f>
        <v>128.95803724700616</v>
      </c>
      <c r="E8" s="21">
        <f>MAX((E5+E6),0)</f>
        <v>10.587826514679426</v>
      </c>
      <c r="F8" s="21">
        <f>MAX((F5+F6),0)</f>
        <v>2900.2502818121307</v>
      </c>
      <c r="G8" s="21"/>
      <c r="H8" s="21"/>
      <c r="I8" s="21"/>
      <c r="J8" s="21">
        <f>MAX((J5+J6),0)</f>
        <v>175.24925113966444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0.20441827155782857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233.66954501005037</v>
      </c>
      <c r="C12" s="23">
        <f ca="1">C8*C10</f>
        <v>0</v>
      </c>
      <c r="D12" s="23">
        <f>D8*D10</f>
        <v>26.049523523895246</v>
      </c>
      <c r="E12" s="23">
        <f>E8*E10</f>
        <v>2.4034366188322296</v>
      </c>
      <c r="F12" s="23">
        <f>F8*F10</f>
        <v>774.36682524383889</v>
      </c>
      <c r="G12" s="23"/>
      <c r="H12" s="23"/>
      <c r="I12" s="23"/>
      <c r="J12" s="23">
        <f>J8*J10</f>
        <v>62.038234903441207</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0.16252389963227745</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366.92939699212087</v>
      </c>
      <c r="C26" s="247">
        <f>B26*'GWP N2O_CH4'!B5</f>
        <v>7705.5173368345386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62.078738829481694</v>
      </c>
      <c r="C27" s="247">
        <f>B27*'GWP N2O_CH4'!B5</f>
        <v>1303.6535154191156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4.8191828764922864</v>
      </c>
      <c r="C28" s="247">
        <f>B28*'GWP N2O_CH4'!B4</f>
        <v>1493.9466917126088</v>
      </c>
      <c r="D28" s="50"/>
    </row>
    <row r="29" spans="1:4">
      <c r="A29" s="41" t="s">
        <v>276</v>
      </c>
      <c r="B29" s="247">
        <f>B34*'ha_N2O bodem landbouw'!B4</f>
        <v>18.879632944924907</v>
      </c>
      <c r="C29" s="247">
        <f>B29*'GWP N2O_CH4'!B4</f>
        <v>5852.6862129267211</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4.2343690611934626E-3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3.5242915275796545E-5</v>
      </c>
      <c r="C5" s="438" t="s">
        <v>210</v>
      </c>
      <c r="D5" s="423">
        <f>SUM(D6:D11)</f>
        <v>7.6040495930191441E-5</v>
      </c>
      <c r="E5" s="423">
        <f>SUM(E6:E11)</f>
        <v>7.1832692606528959E-4</v>
      </c>
      <c r="F5" s="436" t="s">
        <v>210</v>
      </c>
      <c r="G5" s="423">
        <f>SUM(G6:G11)</f>
        <v>0.23412633772855787</v>
      </c>
      <c r="H5" s="423">
        <f>SUM(H6:H11)</f>
        <v>4.5830551981698817E-2</v>
      </c>
      <c r="I5" s="438" t="s">
        <v>210</v>
      </c>
      <c r="J5" s="438" t="s">
        <v>210</v>
      </c>
      <c r="K5" s="438" t="s">
        <v>210</v>
      </c>
      <c r="L5" s="438" t="s">
        <v>210</v>
      </c>
      <c r="M5" s="423">
        <f>SUM(M6:M11)</f>
        <v>1.4971941336739346E-2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2.3544306598484347E-5</v>
      </c>
      <c r="C6" s="424"/>
      <c r="D6" s="866">
        <f>vkm_GW_PW*SUMIFS(TableVerdeelsleutelVkm[CNG],TableVerdeelsleutelVkm[Voertuigtype],"Lichte voertuigen")*SUMIFS(TableECFTransport[EnergieConsumptieFactor (PJ per km)],TableECFTransport[Index],CONCATENATE($A6,"_CNG_CNG"))</f>
        <v>4.1084449779626089E-5</v>
      </c>
      <c r="E6" s="866">
        <f>vkm_GW_PW*SUMIFS(TableVerdeelsleutelVkm[LPG],TableVerdeelsleutelVkm[Voertuigtype],"Lichte voertuigen")*SUMIFS(TableECFTransport[EnergieConsumptieFactor (PJ per km)],TableECFTransport[Index],CONCATENATE($A6,"_LPG_LPG"))</f>
        <v>3.9792309209037873E-4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9.3518773677232644E-2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2.5159880288038304E-2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6.1894006989172082E-3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5.678563709088439E-2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1.1012540023795023E-6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3.2923028599185717E-3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1.1698608677312199E-5</v>
      </c>
      <c r="C8" s="424"/>
      <c r="D8" s="426">
        <f>vkm_NGW_PW*SUMIFS(TableVerdeelsleutelVkm[CNG],TableVerdeelsleutelVkm[Voertuigtype],"Lichte voertuigen")*SUMIFS(TableECFTransport[EnergieConsumptieFactor (PJ per km)],TableECFTransport[Index],CONCATENATE($A8,"_CNG_CNG"))</f>
        <v>3.4956046150565352E-5</v>
      </c>
      <c r="E8" s="426">
        <f>vkm_NGW_PW*SUMIFS(TableVerdeelsleutelVkm[LPG],TableVerdeelsleutelVkm[Voertuigtype],"Lichte voertuigen")*SUMIFS(TableECFTransport[EnergieConsumptieFactor (PJ per km)],TableECFTransport[Index],CONCATENATE($A8,"_LPG_LPG"))</f>
        <v>3.2040383397491086E-4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7.0681663722625479E-2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2.0669254787066198E-2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4.7283931671169921E-3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1.3140263237815347E-2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3.1565259194300726E-7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7.6184461078657271E-4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9.7896986877212608</v>
      </c>
      <c r="C14" s="21"/>
      <c r="D14" s="21">
        <f t="shared" ref="D14:M14" si="0">((D5)*10^9/3600)+D12</f>
        <v>21.122359980608731</v>
      </c>
      <c r="E14" s="21">
        <f t="shared" si="0"/>
        <v>199.53525724035825</v>
      </c>
      <c r="F14" s="21"/>
      <c r="G14" s="21">
        <f t="shared" si="0"/>
        <v>65035.093813488304</v>
      </c>
      <c r="H14" s="21">
        <f t="shared" si="0"/>
        <v>12730.708883805228</v>
      </c>
      <c r="I14" s="21"/>
      <c r="J14" s="21"/>
      <c r="K14" s="21"/>
      <c r="L14" s="21"/>
      <c r="M14" s="21">
        <f t="shared" si="0"/>
        <v>4158.8725935387074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0.20441827155782857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2.0011932848159226</v>
      </c>
      <c r="C18" s="23"/>
      <c r="D18" s="23">
        <f t="shared" ref="D18:M18" si="1">D14*D16</f>
        <v>4.2667167160829642</v>
      </c>
      <c r="E18" s="23">
        <f t="shared" si="1"/>
        <v>45.294503393561321</v>
      </c>
      <c r="F18" s="23"/>
      <c r="G18" s="23">
        <f t="shared" si="1"/>
        <v>17364.370048201377</v>
      </c>
      <c r="H18" s="23">
        <f t="shared" si="1"/>
        <v>3169.9465120675018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3.0471159258471858E-3</v>
      </c>
      <c r="H50" s="319">
        <f t="shared" si="2"/>
        <v>0</v>
      </c>
      <c r="I50" s="319">
        <f t="shared" si="2"/>
        <v>0</v>
      </c>
      <c r="J50" s="319">
        <f t="shared" si="2"/>
        <v>0</v>
      </c>
      <c r="K50" s="319">
        <f t="shared" si="2"/>
        <v>0</v>
      </c>
      <c r="L50" s="319">
        <f t="shared" si="2"/>
        <v>0</v>
      </c>
      <c r="M50" s="319">
        <f t="shared" si="2"/>
        <v>1.7416387179064192E-4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3.0471159258471858E-3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1.7416387179064192E-4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846.42109051310717</v>
      </c>
      <c r="H54" s="21">
        <f t="shared" si="3"/>
        <v>0</v>
      </c>
      <c r="I54" s="21">
        <f t="shared" si="3"/>
        <v>0</v>
      </c>
      <c r="J54" s="21">
        <f t="shared" si="3"/>
        <v>0</v>
      </c>
      <c r="K54" s="21">
        <f t="shared" si="3"/>
        <v>0</v>
      </c>
      <c r="L54" s="21">
        <f t="shared" si="3"/>
        <v>0</v>
      </c>
      <c r="M54" s="21">
        <f t="shared" si="3"/>
        <v>48.378853275178308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0.20441827155782857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225.99443116699962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3704.9962734385731</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N30</f>
        <v>87.299999999999983</v>
      </c>
      <c r="C8" s="545">
        <f>B49</f>
        <v>0</v>
      </c>
      <c r="D8" s="1022"/>
      <c r="E8" s="1022">
        <f>E49</f>
        <v>0</v>
      </c>
      <c r="F8" s="1023"/>
      <c r="G8" s="546"/>
      <c r="H8" s="1022">
        <f>I49</f>
        <v>0</v>
      </c>
      <c r="I8" s="1022">
        <f>G49+F49</f>
        <v>0</v>
      </c>
      <c r="J8" s="1022">
        <f>H49+D49+C49</f>
        <v>102.70588235294116</v>
      </c>
      <c r="K8" s="1022"/>
      <c r="L8" s="1022"/>
      <c r="M8" s="1022"/>
      <c r="N8" s="547"/>
      <c r="O8" s="548">
        <f>C8*$C$12+D8*$D$12+E8*$E$12+F8*$F$12+G8*$G$12+H8*$H$12+I8*$I$12+J8*$J$12</f>
        <v>0</v>
      </c>
      <c r="P8" s="1253"/>
      <c r="Q8" s="1254"/>
      <c r="S8" s="986"/>
      <c r="T8" s="1274"/>
      <c r="U8" s="1274"/>
    </row>
    <row r="9" spans="1:21" s="534" customFormat="1" ht="17.45" customHeight="1" thickBot="1">
      <c r="A9" s="549" t="s">
        <v>247</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3792.2962734385733</v>
      </c>
      <c r="C10" s="558">
        <f t="shared" ref="C10:L10" si="0">SUM(C8:C9)</f>
        <v>0</v>
      </c>
      <c r="D10" s="558">
        <f t="shared" si="0"/>
        <v>0</v>
      </c>
      <c r="E10" s="558">
        <f t="shared" si="0"/>
        <v>0</v>
      </c>
      <c r="F10" s="558">
        <f t="shared" si="0"/>
        <v>0</v>
      </c>
      <c r="G10" s="558">
        <f t="shared" si="0"/>
        <v>0</v>
      </c>
      <c r="H10" s="558">
        <f t="shared" si="0"/>
        <v>0</v>
      </c>
      <c r="I10" s="558">
        <f t="shared" si="0"/>
        <v>0</v>
      </c>
      <c r="J10" s="558">
        <f t="shared" si="0"/>
        <v>102.70588235294116</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O30</f>
        <v>124.71428571428569</v>
      </c>
      <c r="C17" s="570">
        <f>B50</f>
        <v>0</v>
      </c>
      <c r="D17" s="571"/>
      <c r="E17" s="571">
        <f>E50</f>
        <v>0</v>
      </c>
      <c r="F17" s="1028"/>
      <c r="G17" s="572"/>
      <c r="H17" s="570">
        <f>I50</f>
        <v>0</v>
      </c>
      <c r="I17" s="571">
        <f>G50+F50</f>
        <v>0</v>
      </c>
      <c r="J17" s="571">
        <f>H50+D50+C50</f>
        <v>146.72268907563023</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124.71428571428569</v>
      </c>
      <c r="C20" s="557">
        <f>SUM(C17:C19)</f>
        <v>0</v>
      </c>
      <c r="D20" s="557">
        <f t="shared" ref="D20:L20" si="1">SUM(D17:D19)</f>
        <v>0</v>
      </c>
      <c r="E20" s="557">
        <f t="shared" si="1"/>
        <v>0</v>
      </c>
      <c r="F20" s="557">
        <f t="shared" si="1"/>
        <v>0</v>
      </c>
      <c r="G20" s="557">
        <f t="shared" si="1"/>
        <v>0</v>
      </c>
      <c r="H20" s="557">
        <f t="shared" si="1"/>
        <v>0</v>
      </c>
      <c r="I20" s="557">
        <f t="shared" si="1"/>
        <v>0</v>
      </c>
      <c r="J20" s="557">
        <f t="shared" si="1"/>
        <v>146.72268907563023</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41027</v>
      </c>
      <c r="C28" s="771">
        <v>9550</v>
      </c>
      <c r="D28" s="628" t="s">
        <v>913</v>
      </c>
      <c r="E28" s="627" t="s">
        <v>914</v>
      </c>
      <c r="F28" s="627" t="s">
        <v>915</v>
      </c>
      <c r="G28" s="627" t="s">
        <v>916</v>
      </c>
      <c r="H28" s="627" t="s">
        <v>917</v>
      </c>
      <c r="I28" s="627" t="s">
        <v>914</v>
      </c>
      <c r="J28" s="770">
        <v>40920</v>
      </c>
      <c r="K28" s="770">
        <v>41030</v>
      </c>
      <c r="L28" s="627" t="s">
        <v>918</v>
      </c>
      <c r="M28" s="627">
        <v>9.6999999999999993</v>
      </c>
      <c r="N28" s="627">
        <v>43.649999999999991</v>
      </c>
      <c r="O28" s="627">
        <v>62.357142857142847</v>
      </c>
      <c r="P28" s="627">
        <v>0</v>
      </c>
      <c r="Q28" s="627">
        <v>124.71428571428569</v>
      </c>
      <c r="R28" s="627">
        <v>0</v>
      </c>
      <c r="S28" s="627">
        <v>0</v>
      </c>
      <c r="T28" s="627">
        <v>0</v>
      </c>
      <c r="U28" s="627">
        <v>0</v>
      </c>
      <c r="V28" s="627">
        <v>0</v>
      </c>
      <c r="W28" s="627">
        <v>0</v>
      </c>
      <c r="X28" s="627">
        <v>10</v>
      </c>
      <c r="Y28" s="627" t="s">
        <v>111</v>
      </c>
      <c r="Z28" s="629" t="s">
        <v>111</v>
      </c>
    </row>
    <row r="29" spans="1:26" s="581" customFormat="1" ht="63.75">
      <c r="A29" s="580"/>
      <c r="B29" s="771">
        <v>41027</v>
      </c>
      <c r="C29" s="771">
        <v>9552</v>
      </c>
      <c r="D29" s="628" t="s">
        <v>919</v>
      </c>
      <c r="E29" s="627" t="s">
        <v>920</v>
      </c>
      <c r="F29" s="627" t="s">
        <v>921</v>
      </c>
      <c r="G29" s="627" t="s">
        <v>916</v>
      </c>
      <c r="H29" s="627" t="s">
        <v>917</v>
      </c>
      <c r="I29" s="627" t="s">
        <v>922</v>
      </c>
      <c r="J29" s="770">
        <v>41379</v>
      </c>
      <c r="K29" s="770">
        <v>41379</v>
      </c>
      <c r="L29" s="627" t="s">
        <v>918</v>
      </c>
      <c r="M29" s="627">
        <v>9.6999999999999993</v>
      </c>
      <c r="N29" s="627">
        <v>43.649999999999991</v>
      </c>
      <c r="O29" s="627">
        <v>62.357142857142847</v>
      </c>
      <c r="P29" s="627">
        <v>0</v>
      </c>
      <c r="Q29" s="627">
        <v>124.71428571428569</v>
      </c>
      <c r="R29" s="627">
        <v>0</v>
      </c>
      <c r="S29" s="627">
        <v>0</v>
      </c>
      <c r="T29" s="627">
        <v>0</v>
      </c>
      <c r="U29" s="627">
        <v>0</v>
      </c>
      <c r="V29" s="627">
        <v>0</v>
      </c>
      <c r="W29" s="627">
        <v>0</v>
      </c>
      <c r="X29" s="627">
        <v>1600</v>
      </c>
      <c r="Y29" s="627" t="s">
        <v>49</v>
      </c>
      <c r="Z29" s="629" t="s">
        <v>155</v>
      </c>
    </row>
    <row r="30" spans="1:26" s="565" customFormat="1">
      <c r="A30" s="583" t="s">
        <v>279</v>
      </c>
      <c r="B30" s="584"/>
      <c r="C30" s="584"/>
      <c r="D30" s="584"/>
      <c r="E30" s="584"/>
      <c r="F30" s="584"/>
      <c r="G30" s="584"/>
      <c r="H30" s="584"/>
      <c r="I30" s="584"/>
      <c r="J30" s="584"/>
      <c r="K30" s="584"/>
      <c r="L30" s="585"/>
      <c r="M30" s="585">
        <f>SUM(M28:M29)</f>
        <v>19.399999999999999</v>
      </c>
      <c r="N30" s="585">
        <f>SUM(N28:N29)</f>
        <v>87.299999999999983</v>
      </c>
      <c r="O30" s="585">
        <f>SUM(O28:O29)</f>
        <v>124.71428571428569</v>
      </c>
      <c r="P30" s="585">
        <f>SUM(P28:P29)</f>
        <v>0</v>
      </c>
      <c r="Q30" s="585">
        <f>SUM(Q28:Q29)</f>
        <v>249.42857142857139</v>
      </c>
      <c r="R30" s="585">
        <f>SUM(R28:R29)</f>
        <v>0</v>
      </c>
      <c r="S30" s="585">
        <f>SUM(S28:S29)</f>
        <v>0</v>
      </c>
      <c r="T30" s="585">
        <f>SUM(T28:T29)</f>
        <v>0</v>
      </c>
      <c r="U30" s="585">
        <f>SUM(U28:U29)</f>
        <v>0</v>
      </c>
      <c r="V30" s="585">
        <f>SUM(V28:V29)</f>
        <v>0</v>
      </c>
      <c r="W30" s="585">
        <f>SUM(W28:W29)</f>
        <v>0</v>
      </c>
      <c r="X30" s="586"/>
      <c r="Y30" s="586"/>
      <c r="Z30" s="587"/>
    </row>
    <row r="31" spans="1:26" s="565" customFormat="1">
      <c r="A31" s="583" t="s">
        <v>286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5" customFormat="1">
      <c r="A32" s="583" t="s">
        <v>287</v>
      </c>
      <c r="B32" s="584"/>
      <c r="C32" s="584"/>
      <c r="D32" s="584"/>
      <c r="E32" s="584"/>
      <c r="F32" s="584"/>
      <c r="G32" s="584"/>
      <c r="H32" s="584"/>
      <c r="I32" s="584"/>
      <c r="J32" s="584"/>
      <c r="K32" s="584"/>
      <c r="L32" s="585"/>
      <c r="M32" s="585">
        <f ca="1">SUMIF($Z$28:AC29,"tertiair",M28:M29)</f>
        <v>9.6999999999999993</v>
      </c>
      <c r="N32" s="585">
        <f ca="1">SUMIF($Z$28:AD29,"tertiair",N28:N29)</f>
        <v>43.649999999999991</v>
      </c>
      <c r="O32" s="585">
        <f ca="1">SUMIF($Z$28:AE29,"tertiair",O28:O29)</f>
        <v>62.357142857142847</v>
      </c>
      <c r="P32" s="585">
        <f ca="1">SUMIF($Z$28:AF29,"tertiair",P28:P29)</f>
        <v>0</v>
      </c>
      <c r="Q32" s="585">
        <f ca="1">SUMIF($Z$28:AG29,"tertiair",Q28:Q29)</f>
        <v>124.71428571428569</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5" customFormat="1" ht="15.75" thickBot="1">
      <c r="A33" s="588" t="s">
        <v>288</v>
      </c>
      <c r="B33" s="589"/>
      <c r="C33" s="589"/>
      <c r="D33" s="589"/>
      <c r="E33" s="589"/>
      <c r="F33" s="589"/>
      <c r="G33" s="589"/>
      <c r="H33" s="589"/>
      <c r="I33" s="589"/>
      <c r="J33" s="589"/>
      <c r="K33" s="589"/>
      <c r="L33" s="590"/>
      <c r="M33" s="590">
        <f>SUMIF($Z$28:$Z$29,"landbouw",M28:M29)</f>
        <v>9.6999999999999993</v>
      </c>
      <c r="N33" s="590">
        <f>SUMIF($Z$28:$Z$29,"landbouw",N28:N29)</f>
        <v>43.649999999999991</v>
      </c>
      <c r="O33" s="590">
        <f>SUMIF($Z$28:$Z$29,"landbouw",O28:O29)</f>
        <v>62.357142857142847</v>
      </c>
      <c r="P33" s="590">
        <f>SUMIF($Z$28:$Z$29,"landbouw",P28:P29)</f>
        <v>0</v>
      </c>
      <c r="Q33" s="590">
        <f>SUMIF($Z$28:$Z$29,"landbouw",Q28:Q29)</f>
        <v>124.71428571428569</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4" customFormat="1" ht="15.75" thickBot="1">
      <c r="A34" s="593"/>
      <c r="B34" s="594"/>
      <c r="C34" s="594"/>
      <c r="D34" s="594"/>
      <c r="E34" s="594"/>
      <c r="F34" s="594"/>
      <c r="G34" s="594"/>
      <c r="H34" s="594"/>
      <c r="I34" s="594"/>
      <c r="J34" s="594"/>
      <c r="K34" s="594"/>
      <c r="L34" s="577"/>
      <c r="M34" s="577"/>
      <c r="N34" s="577"/>
      <c r="O34" s="578"/>
      <c r="P34" s="578"/>
    </row>
    <row r="35" spans="1:27" s="534" customFormat="1" ht="45">
      <c r="A35" s="595" t="s">
        <v>280</v>
      </c>
      <c r="B35" s="624" t="s">
        <v>89</v>
      </c>
      <c r="C35" s="624" t="s">
        <v>90</v>
      </c>
      <c r="D35" s="624" t="s">
        <v>91</v>
      </c>
      <c r="E35" s="624" t="s">
        <v>92</v>
      </c>
      <c r="F35" s="624" t="s">
        <v>93</v>
      </c>
      <c r="G35" s="624" t="s">
        <v>94</v>
      </c>
      <c r="H35" s="624" t="s">
        <v>95</v>
      </c>
      <c r="I35" s="624" t="s">
        <v>96</v>
      </c>
      <c r="J35" s="624" t="s">
        <v>97</v>
      </c>
      <c r="K35" s="624" t="s">
        <v>98</v>
      </c>
      <c r="L35" s="624" t="s">
        <v>99</v>
      </c>
      <c r="M35" s="625" t="s">
        <v>297</v>
      </c>
      <c r="N35" s="625" t="s">
        <v>100</v>
      </c>
      <c r="O35" s="625" t="s">
        <v>101</v>
      </c>
      <c r="P35" s="625" t="s">
        <v>543</v>
      </c>
      <c r="Q35" s="625" t="s">
        <v>102</v>
      </c>
      <c r="R35" s="625" t="s">
        <v>103</v>
      </c>
      <c r="S35" s="625" t="s">
        <v>104</v>
      </c>
      <c r="T35" s="625" t="s">
        <v>105</v>
      </c>
      <c r="U35" s="625" t="s">
        <v>106</v>
      </c>
      <c r="V35" s="625" t="s">
        <v>107</v>
      </c>
      <c r="W35" s="624" t="s">
        <v>108</v>
      </c>
      <c r="X35" s="624" t="s">
        <v>298</v>
      </c>
      <c r="Y35" s="624" t="s">
        <v>109</v>
      </c>
      <c r="Z35" s="626" t="s">
        <v>299</v>
      </c>
    </row>
    <row r="36" spans="1:27" s="596" customFormat="1" ht="12.75">
      <c r="A36" s="582"/>
      <c r="B36" s="771"/>
      <c r="C36" s="771"/>
      <c r="D36" s="630"/>
      <c r="E36" s="630"/>
      <c r="F36" s="630"/>
      <c r="G36" s="630"/>
      <c r="H36" s="630"/>
      <c r="I36" s="630"/>
      <c r="J36" s="770"/>
      <c r="K36" s="770"/>
      <c r="L36" s="630"/>
      <c r="M36" s="630"/>
      <c r="N36" s="630"/>
      <c r="O36" s="630"/>
      <c r="P36" s="630"/>
      <c r="Q36" s="630"/>
      <c r="R36" s="630"/>
      <c r="S36" s="630"/>
      <c r="T36" s="630"/>
      <c r="U36" s="630"/>
      <c r="V36" s="630"/>
      <c r="W36" s="630"/>
      <c r="X36" s="630"/>
      <c r="Y36" s="630"/>
      <c r="Z36" s="631"/>
    </row>
    <row r="37" spans="1:27" s="565" customFormat="1">
      <c r="A37" s="583" t="s">
        <v>279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5" customFormat="1">
      <c r="A38" s="583" t="s">
        <v>286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5" customFormat="1">
      <c r="A39" s="583" t="s">
        <v>287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5" customFormat="1" ht="15.75" thickBot="1">
      <c r="A40" s="588" t="s">
        <v>288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281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282</v>
      </c>
      <c r="C45" s="607" t="s">
        <v>283</v>
      </c>
      <c r="D45" s="607"/>
      <c r="E45" s="607"/>
      <c r="F45" s="607"/>
      <c r="G45" s="607"/>
      <c r="H45" s="607"/>
      <c r="I45" s="608"/>
      <c r="J45" s="607"/>
      <c r="K45" s="607"/>
      <c r="L45" s="607"/>
      <c r="M45" s="607"/>
      <c r="N45" s="607"/>
      <c r="O45" s="607"/>
      <c r="P45" s="602"/>
    </row>
    <row r="46" spans="1:27">
      <c r="A46" s="604" t="s">
        <v>279</v>
      </c>
      <c r="B46" s="609">
        <f>IF(ISERROR(O30/(O30+N30)),0,O30/(O30+N30))</f>
        <v>0.58823529411764708</v>
      </c>
      <c r="C46" s="610">
        <f>IF(ISERROR(N30/(O30+N30)),0,N30/(N30+O30))</f>
        <v>0.41176470588235292</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543</v>
      </c>
      <c r="C48" s="617" t="s">
        <v>102</v>
      </c>
      <c r="D48" s="617" t="s">
        <v>103</v>
      </c>
      <c r="E48" s="617" t="s">
        <v>104</v>
      </c>
      <c r="F48" s="617" t="s">
        <v>105</v>
      </c>
      <c r="G48" s="617" t="s">
        <v>106</v>
      </c>
      <c r="H48" s="617" t="s">
        <v>107</v>
      </c>
      <c r="I48" s="618" t="s">
        <v>108</v>
      </c>
      <c r="J48" s="607"/>
      <c r="K48" s="607"/>
      <c r="L48" s="615"/>
      <c r="M48" s="615"/>
      <c r="N48" s="615"/>
      <c r="O48" s="602"/>
      <c r="P48" s="602"/>
    </row>
    <row r="49" spans="1:16">
      <c r="A49" s="606" t="s">
        <v>284</v>
      </c>
      <c r="B49" s="619">
        <f t="shared" ref="B49:I49" si="2">$C$46*P30</f>
        <v>0</v>
      </c>
      <c r="C49" s="619">
        <f t="shared" si="2"/>
        <v>102.70588235294116</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285</v>
      </c>
      <c r="B50" s="622">
        <f t="shared" ref="B50:I50" si="3">$B$46*P30</f>
        <v>0</v>
      </c>
      <c r="C50" s="622">
        <f t="shared" si="3"/>
        <v>146.72268907563023</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2020-06-20T16:09:06Z</dcterms:modified>
</cp:coreProperties>
</file>