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4" i="48"/>
  <c r="P22" i="48" s="1"/>
  <c r="Q11" i="14"/>
  <c r="J15" i="16"/>
  <c r="B7" i="48"/>
  <c r="C24" i="14"/>
  <c r="C26" i="14" s="1"/>
  <c r="E11" i="14"/>
  <c r="D4" i="48"/>
  <c r="D22" i="48"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<sst xmlns="http://schemas.openxmlformats.org/spreadsheetml/2006/main" count="2434" uniqueCount="913">
  <si>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</si>
  <si>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</si>
  <si>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</si>
  <si>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</si>
  <si>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</si>
  <si>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</si>
  <si>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</si>
  <si>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</si>
  <si>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</si>
  <si>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</si>
  <si>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</si>
  <si>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</si>
  <si>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</si>
  <si>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</si>
  <si>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</si>
  <si>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</si>
  <si>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</si>
  <si>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</si>
  <si>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</si>
  <si>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</si>
  <si>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</si>
  <si>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</si>
  <si>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</si>
  <si>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</si>
  <si>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</si>
  <si>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</si>
  <si>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</si>
  <si>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</si>
  <si>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</si>
  <si>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</si>
  <si>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</si>
  <si>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</si>
  <si>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</si>
  <si>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</si>
  <si>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</si>
  <si>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</si>
  <si>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</si>
  <si>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</si>
  <si>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</si>
  <si>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</si>
  <si>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</si>
  <si>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</si>
  <si>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</si>
  <si>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</si>
  <si>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</si>
  <si>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</si>
  <si>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</si>
  <si>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</si>
  <si>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</si>
  <si>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</si>
  <si>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</si>
  <si>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</si>
  <si>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</si>
  <si>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</si>
  <si>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</si>
  <si>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</si>
  <si>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</si>
  <si>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</si>
  <si>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</si>
  <si>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</si>
  <si>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</si>
  <si>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</si>
  <si>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</si>
  <si>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</si>
  <si>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</si>
  <si>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</si>
  <si>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</si>
  <si>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</si>
  <si>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</si>
  <si>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</si>
  <si>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</si>
  <si>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</si>
  <si>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</si>
  <si>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</si>
  <si>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</si>
  <si>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</si>
  <si>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</si>
  <si>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</si>
  <si>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</si>
  <si>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</si>
  <si>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</si>
  <si>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</si>
  <si>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</si>
  <si>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</si>
  <si>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</si>
  <si>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</si>
  <si>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</si>
  <si>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</si>
  <si>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</si>
  <si>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</si>
  <si>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</si>
  <si>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</si>
  <si>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</si>
  <si>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</si>
  <si>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</si>
  <si>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</si>
  <si>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</si>
  <si>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</si>
  <si>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</si>
  <si>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</si>
  <si>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</si>
  <si>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</si>
  <si>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</si>
  <si>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</si>
  <si>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</si>
  <si>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</si>
  <si>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</si>
  <si>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</si>
  <si>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</si>
  <si>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</si>
  <si>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</si>
  <si>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</si>
  <si>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</si>
  <si>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</si>
  <si>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</si>
  <si>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</si>
  <si>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</si>
  <si>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</si>
  <si>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</si>
  <si>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</si>
  <si>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</si>
  <si>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</si>
  <si>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</si>
  <si>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</si>
  <si>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</si>
  <si>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</si>
  <si>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</si>
  <si>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</si>
  <si>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</si>
  <si>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</si>
  <si>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</si>
  <si>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</si>
  <si>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</si>
  <si>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</si>
  <si>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</si>
  <si>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</si>
  <si>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</si>
  <si>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</si>
  <si>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</si>
  <si>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</si>
  <si>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</si>
  <si>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</si>
  <si>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</si>
  <si>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</si>
  <si>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</si>
  <si>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</si>
  <si>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</si>
  <si>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</si>
  <si>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</si>
  <si>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</si>
  <si>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</si>
  <si>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</si>
  <si>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</si>
  <si>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</si>
  <si>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</si>
  <si>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</si>
  <si>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</si>
  <si>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</si>
  <si>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</si>
  <si>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</si>
  <si>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</si>
  <si>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</si>
  <si>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</si>
  <si>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</si>
  <si>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</si>
  <si>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</si>
  <si>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</si>
  <si>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</si>
  <si>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</si>
  <si>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</si>
  <si>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</si>
  <si>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</si>
  <si>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</si>
  <si>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</si>
  <si>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</si>
  <si>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</si>
  <si>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</si>
  <si>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</si>
  <si>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</si>
  <si>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</si>
  <si>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</si>
  <si>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</si>
  <si>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</si>
  <si>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</si>
  <si>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</si>
  <si>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</si>
  <si>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</si>
  <si>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</si>
  <si>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</si>
  <si>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</si>
  <si>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</si>
  <si>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</si>
  <si>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</si>
  <si>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</si>
  <si>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</si>
  <si>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</si>
  <si>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</si>
  <si>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</si>
  <si>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</si>
  <si>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</si>
  <si>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</si>
  <si>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</si>
  <si>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</si>
  <si>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</si>
  <si>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</si>
  <si>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</si>
  <si>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</si>
  <si>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</si>
  <si>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</si>
  <si>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</si>
  <si>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</si>
  <si>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</si>
  <si>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</si>
  <si>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</si>
  <si>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</si>
  <si>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</si>
  <si>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</si>
  <si>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</si>
  <si>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</si>
  <si>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</si>
  <si>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</si>
  <si>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</si>
  <si>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</si>
  <si>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</si>
  <si>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</si>
  <si>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</si>
  <si>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</si>
  <si>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</si>
  <si>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</si>
  <si>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</si>
  <si>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</si>
  <si>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</si>
  <si>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</si>
  <si>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</si>
  <si>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</si>
  <si>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</si>
  <si>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</si>
  <si>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</si>
  <si>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</si>
  <si>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</si>
  <si>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</si>
  <si>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</si>
  <si>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</si>
  <si>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</si>
  <si>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</si>
  <si>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</si>
  <si>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</si>
  <si>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</si>
  <si>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</si>
  <si>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</si>
  <si>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</si>
  <si>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</si>
  <si>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</si>
  <si>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</si>
  <si>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</si>
  <si>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</si>
  <si>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</si>
  <si>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</si>
  <si>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</si>
  <si>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</si>
  <si>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</si>
  <si>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</si>
  <si>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</si>
  <si>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</si>
  <si>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</si>
  <si>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</si>
  <si>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</si>
  <si>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</si>
  <si>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</si>
  <si>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</si>
  <si>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</si>
  <si>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</si>
  <si>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</si>
  <si>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</si>
  <si>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</si>
  <si>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</si>
  <si>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</si>
  <si>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</si>
  <si>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</si>
  <si>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</si>
  <si>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</si>
  <si>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</si>
  <si>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</si>
  <si>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</si>
  <si>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</si>
  <si>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</si>
  <si>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</si>
  <si>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</si>
  <si>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</si>
  <si>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</si>
  <si>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</si>
  <si>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</si>
  <si>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</si>
  <si>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</si>
  <si>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</si>
  <si>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</si>
  <si>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</si>
  <si>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</si>
  <si>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</si>
  <si>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</si>
  <si>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</si>
  <si>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</si>
  <si>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</si>
  <si>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</si>
  <si>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</si>
  <si>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</si>
  <si>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</si>
  <si>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</si>
  <si>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</si>
  <si>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</si>
  <si>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</si>
  <si>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</si>
  <si>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</si>
  <si>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</si>
  <si>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</si>
  <si>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</si>
  <si>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</si>
  <si>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</si>
  <si>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</si>
  <si>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</si>
  <si>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</si>
  <si>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</si>
  <si>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</si>
  <si>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</si>
  <si>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</si>
  <si>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</si>
  <si>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</si>
  <si>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</si>
  <si>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</si>
  <si>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</si>
  <si>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</si>
  <si>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</si>
  <si>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</si>
  <si>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</si>
  <si>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</si>
  <si>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</si>
  <si>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</si>
  <si>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</si>
  <si>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</si>
  <si>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</si>
  <si>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</si>
  <si>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</si>
  <si>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</si>
  <si>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</si>
  <si>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</si>
  <si>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</si>
  <si>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</si>
  <si>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</si>
  <si>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</si>
  <si>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</si>
  <si>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</si>
  <si>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</si>
  <si>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</si>
  <si>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</si>
  <si>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</si>
  <si>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</si>
  <si>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</si>
  <si>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</si>
  <si>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</si>
  <si>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</si>
  <si>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</si>
  <si>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</si>
  <si>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</si>
  <si>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</si>
  <si>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</si>
  <si>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</si>
  <si>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</si>
  <si>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</si>
  <si>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</si>
  <si>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</si>
  <si>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</si>
  <si>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</si>
  <si>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</si>
  <si>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</si>
  <si>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</si>
  <si>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</si>
  <si>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</si>
  <si>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</si>
  <si>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</si>
  <si>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</si>
  <si>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</si>
  <si>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</si>
  <si>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</si>
  <si>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</si>
  <si>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</si>
  <si>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</si>
  <si>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</si>
  <si>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</si>
  <si>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</si>
  <si>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</si>
  <si>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</si>
  <si>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</si>
  <si>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</si>
  <si>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</si>
  <si>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</si>
  <si>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</si>
  <si>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</si>
  <si>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</si>
  <si>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</si>
  <si>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</si>
  <si>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</si>
  <si>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</si>
  <si>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</si>
  <si>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</si>
  <si>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</si>
  <si>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</si>
  <si>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</si>
  <si>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</si>
  <si>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</si>
  <si>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</si>
  <si>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</si>
  <si>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</si>
  <si>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</si>
  <si>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</si>
  <si>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</si>
  <si>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</si>
  <si>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</si>
  <si>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</si>
  <si>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</si>
  <si>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</si>
  <si>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</si>
  <si>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</si>
  <si>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</si>
  <si>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</si>
  <si>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</si>
  <si>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</si>
  <si>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</si>
  <si>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</si>
  <si>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</si>
  <si>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</si>
  <si>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</si>
  <si>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</si>
  <si>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</si>
  <si>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</si>
  <si>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</si>
  <si>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</si>
  <si>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</si>
  <si>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</si>
  <si>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</si>
  <si>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</si>
  <si>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</si>
  <si>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</si>
  <si>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</si>
  <si>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</si>
  <si>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</si>
  <si>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</si>
  <si>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</si>
  <si>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</si>
  <si>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</si>
  <si>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</si>
  <si>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</si>
  <si>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</si>
  <si>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</si>
  <si>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</si>
  <si>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</si>
  <si>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</si>
  <si>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</si>
  <si>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</si>
  <si>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</si>
  <si>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</si>
  <si>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</si>
  <si>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</si>
  <si>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</si>
  <si>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</si>
  <si>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</si>
  <si>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</si>
  <si>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</si>
  <si>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</si>
  <si>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</si>
  <si>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</si>
  <si>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</si>
  <si>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</si>
  <si>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</si>
  <si>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</si>
  <si>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</si>
  <si>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</si>
  <si>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</si>
  <si>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</si>
  <si>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</si>
  <si>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</si>
  <si>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</si>
  <si>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</si>
  <si>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</si>
  <si>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</si>
  <si>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</si>
  <si>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</si>
  <si>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</si>
  <si>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</si>
  <si>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</si>
  <si>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</si>
  <si>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</si>
  <si>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</si>
  <si>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</si>
  <si>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</si>
  <si>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</si>
  <si>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</si>
  <si>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</si>
  <si>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</si>
  <si>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</si>
  <si>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</si>
  <si>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</si>
  <si>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</si>
  <si>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</si>
  <si>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</si>
  <si>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</si>
  <si>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</si>
  <si>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</si>
  <si>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</si>
  <si>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</si>
  <si>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</si>
  <si>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</si>
  <si>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</si>
  <si>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</si>
  <si>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</si>
  <si>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</si>
  <si>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</si>
  <si>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</si>
  <si>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</si>
  <si>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</si>
  <si>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</si>
  <si>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</si>
  <si>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</si>
  <si>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</si>
  <si>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</si>
  <si>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</si>
  <si>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</si>
  <si>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</si>
  <si>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</si>
  <si>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</si>
  <si>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</si>
  <si>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</si>
  <si>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</si>
  <si>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</si>
  <si>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</si>
  <si>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</si>
  <si>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</si>
  <si>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</si>
  <si>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</si>
  <si>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</si>
  <si>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</si>
  <si>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</si>
  <si>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</si>
  <si>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</si>
  <si>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</si>
  <si>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</si>
  <si>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</si>
  <si>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</si>
  <si>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</si>
  <si>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</si>
  <si>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</si>
  <si>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</si>
  <si>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</si>
  <si>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</si>
  <si>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</si>
  <si>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</si>
  <si>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</si>
  <si>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</si>
  <si>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</si>
  <si>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</si>
  <si>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</si>
  <si>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</si>
  <si>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</si>
  <si>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</si>
  <si>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</si>
  <si>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</si>
  <si>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</si>
  <si>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</si>
  <si>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</si>
  <si>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</si>
  <si>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</si>
  <si>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</si>
  <si>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</si>
  <si>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</si>
  <si>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</si>
  <si>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</si>
  <si>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</si>
  <si>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</si>
  <si>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</si>
  <si>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</si>
  <si>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</si>
  <si>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</si>
  <si>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</si>
  <si>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</si>
  <si>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</si>
  <si>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</si>
  <si>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</si>
  <si>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</si>
  <si>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</si>
  <si>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</si>
  <si>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</si>
  <si>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</si>
  <si>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</si>
  <si>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</si>
  <si>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</si>
  <si>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</si>
  <si>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</si>
  <si>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</si>
  <si>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</si>
  <si>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</si>
  <si>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</si>
  <si>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</si>
  <si>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</si>
  <si>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</si>
  <si>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</si>
  <si>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</si>
  <si>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</si>
  <si>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</si>
  <si>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</si>
  <si>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</si>
  <si>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</si>
  <si>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</si>
  <si>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</si>
  <si>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</si>
  <si>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</si>
  <si>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</si>
  <si>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</si>
  <si>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</si>
  <si>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</si>
  <si>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</si>
  <si>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</si>
  <si>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</si>
  <si>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</si>
  <si>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</si>
  <si>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</si>
  <si>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</si>
  <si>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</si>
  <si>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</si>
  <si>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</si>
  <si>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</si>
  <si>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</si>
  <si>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</si>
  <si>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</si>
  <si>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</si>
  <si>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</si>
  <si>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</si>
  <si>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</si>
  <si>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</si>
  <si>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</si>
  <si>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</si>
  <si>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</si>
  <si>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</si>
  <si>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</si>
  <si>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</si>
  <si>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</si>
  <si>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</si>
  <si>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</si>
  <si>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</si>
  <si>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</si>
  <si>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</si>
  <si>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</si>
  <si>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</si>
  <si>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</si>
  <si>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</si>
  <si>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</si>
  <si>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</si>
  <si>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</si>
  <si>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</si>
  <si>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</si>
  <si>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</si>
  <si>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</si>
  <si>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</si>
  <si>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</si>
  <si>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</si>
  <si>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</si>
  <si>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</si>
  <si>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</si>
  <si>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</si>
  <si>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</si>
  <si>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</si>
  <si>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</si>
  <si>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</si>
  <si>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</si>
  <si>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</si>
  <si>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</si>
  <si>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</si>
  <si>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</si>
  <si>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</si>
  <si>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</si>
  <si>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</si>
  <si>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</si>
  <si>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</si>
  <si>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</si>
  <si>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</si>
  <si>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</si>
  <si>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</si>
  <si>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</si>
  <si>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</si>
  <si>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</si>
  <si>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</si>
  <si>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</si>
  <si>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</si>
  <si>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</si>
  <si>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</si>
  <si>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</si>
  <si>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</si>
  <si>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</si>
  <si>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</si>
  <si>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</si>
  <si>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</si>
  <si>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</si>
  <si>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</si>
  <si>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</si>
  <si>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</si>
  <si>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</si>
  <si>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</si>
  <si>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</si>
  <si>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</si>
  <si>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</si>
  <si>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</si>
  <si>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</si>
  <si>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</si>
  <si>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</si>
  <si>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</si>
  <si>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</si>
  <si>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</si>
  <si>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</si>
  <si>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</si>
  <si>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</si>
  <si>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</si>
  <si>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</si>
  <si>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</si>
  <si>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</si>
  <si>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</si>
  <si>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</si>
  <si>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</si>
  <si>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</si>
  <si>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</si>
  <si>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</si>
  <si>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</si>
  <si>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</si>
  <si>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</si>
  <si>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</si>
  <si>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</si>
  <si>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</si>
  <si>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</si>
  <si>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</si>
  <si>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</si>
  <si>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</si>
  <si>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</si>
  <si>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</si>
  <si>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</si>
  <si>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</si>
  <si>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</si>
  <si>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</si>
  <si>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</si>
  <si>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</si>
  <si>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</si>
  <si>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</si>
  <si>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</si>
  <si>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</si>
  <si>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</si>
  <si>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</si>
  <si>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</si>
  <si>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</si>
  <si>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</si>
  <si>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</si>
  <si>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</si>
  <si>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</si>
  <si>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</si>
  <si>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</si>
  <si>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</si>
  <si>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</si>
  <si>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</si>
  <si>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</si>
  <si>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</si>
  <si>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</si>
  <si>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</si>
  <si>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</si>
  <si>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</si>
  <si>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</si>
  <si>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</si>
  <si>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</si>
  <si>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</si>
  <si>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</si>
  <si>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</si>
  <si>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</si>
  <si>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</si>
  <si>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</si>
  <si>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</si>
  <si>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</si>
  <si>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</si>
  <si>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</si>
  <si>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</si>
  <si>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</si>
  <si>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</si>
  <si>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</si>
  <si>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</si>
  <si>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</si>
  <si>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</si>
  <si>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</si>
  <si>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</si>
  <si>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</si>
  <si>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</si>
  <si>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</si>
  <si>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</si>
  <si>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</si>
  <si>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</si>
  <si>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</si>
  <si>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</si>
  <si>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</si>
  <si>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</si>
  <si>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</si>
  <si>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</si>
  <si>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</si>
  <si>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</si>
  <si>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</si>
  <si>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</si>
  <si>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</si>
  <si>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</si>
  <si>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</si>
  <si>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</si>
  <si>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</si>
  <si>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</si>
  <si>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</si>
  <si>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</si>
  <si>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</si>
  <si>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</si>
  <si>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</si>
  <si>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</si>
  <si>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</si>
  <si>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</si>
  <si>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</si>
  <si>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</si>
  <si>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</si>
  <si>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</si>
  <si>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</si>
  <si>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</si>
  <si>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</si>
  <si>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</si>
  <si>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</si>
  <si>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</si>
  <si>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</si>
  <si>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</si>
  <si>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</si>
  <si>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</si>
  <si>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</si>
  <si>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</si>
  <si>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</si>
  <si>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</si>
  <si>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</si>
  <si>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</si>
  <si>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</si>
  <si>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</si>
  <si>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</si>
  <si>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</si>
  <si>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</si>
  <si>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</si>
  <si>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</si>
  <si>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</si>
  <si>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</si>
  <si>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</si>
  <si>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</si>
  <si>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</si>
  <si>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</si>
  <si>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</si>
  <si>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</si>
  <si>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</si>
  <si>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</si>
  <si>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</si>
  <si>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</si>
  <si>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</si>
  <si>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</si>
  <si>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</si>
  <si>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</si>
  <si>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</si>
  <si>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</si>
  <si>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</si>
  <si>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</si>
  <si>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</si>
  <si>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</si>
  <si>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</si>
  <si>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</si>
  <si>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</si>
  <si>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</si>
  <si>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</si>
  <si>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</si>
  <si>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</si>
  <si>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</si>
  <si>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</si>
  <si>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</si>
  <si>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</si>
  <si>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</si>
  <si>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</si>
  <si>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</si>
  <si>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</si>
  <si>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</si>
  <si>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</si>
  <si>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</si>
  <si>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</si>
  <si>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</si>
  <si>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</si>
  <si>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</si>
  <si>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</si>
  <si>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</si>
  <si>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</si>
  <si>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</si>
  <si>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</si>
  <si>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</si>
  <si>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</si>
  <si>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</si>
  <si>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</si>
  <si>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</si>
  <si>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</si>
  <si>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</si>
  <si>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</si>
  <si>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</si>
  <si>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</si>
  <si>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41024</t>
  </si>
  <si>
    <t>HAALTERT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</si>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</sst>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178078.58006456454</c:v>
                </c:pt>
                <c:pt idx="1">
                  <c:v>22899.645085028733</c:v>
                </c:pt>
                <c:pt idx="2">
                  <c:v>1121.1099999999999</c:v>
                </c:pt>
                <c:pt idx="3">
                  <c:v>2516.1321210897022</c:v>
                </c:pt>
                <c:pt idx="4">
                  <c:v>17172.325697727829</c:v>
                </c:pt>
                <c:pt idx="5">
                  <c:v>95988.552411411743</c:v>
                </c:pt>
                <c:pt idx="6">
                  <c:v>776.87814783452836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178078.58006456454</c:v>
                </c:pt>
                <c:pt idx="1">
                  <c:v>22899.645085028733</c:v>
                </c:pt>
                <c:pt idx="2">
                  <c:v>1121.1099999999999</c:v>
                </c:pt>
                <c:pt idx="3">
                  <c:v>2516.1321210897022</c:v>
                </c:pt>
                <c:pt idx="4">
                  <c:v>17172.325697727829</c:v>
                </c:pt>
                <c:pt idx="5">
                  <c:v>95988.552411411743</c:v>
                </c:pt>
                <c:pt idx="6">
                  <c:v>776.87814783452836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38144.18045130423</c:v>
                </c:pt>
                <c:pt idx="2">
                  <c:v>4555.9491383548275</c:v>
                </c:pt>
                <c:pt idx="3">
                  <c:v>231.723103284118</c:v>
                </c:pt>
                <c:pt idx="4">
                  <c:v>635.17003236765368</c:v>
                </c:pt>
                <c:pt idx="5">
                  <c:v>3615.2982923003115</c:v>
                </c:pt>
                <c:pt idx="6">
                  <c:v>24069.291780058724</c:v>
                </c:pt>
                <c:pt idx="7">
                  <c:v>196.21160721426835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38144.18045130423</c:v>
                </c:pt>
                <c:pt idx="2">
                  <c:v>4555.9491383548275</c:v>
                </c:pt>
                <c:pt idx="3">
                  <c:v>231.723103284118</c:v>
                </c:pt>
                <c:pt idx="4">
                  <c:v>635.17003236765368</c:v>
                </c:pt>
                <c:pt idx="5">
                  <c:v>3615.2982923003115</c:v>
                </c:pt>
                <c:pt idx="6">
                  <c:v>24069.291780058724</c:v>
                </c:pt>
                <c:pt idx="7">
                  <c:v>196.21160721426835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41024</v>
      </c>
      <c r="B6" s="391"/>
      <c r="C6" s="392"/>
    </row>
    <row r="7" spans="1:7" s="389" customFormat="1" ht="15.75" customHeight="1">
      <c r="A7" s="393" t="str">
        <f>txtMunicipality</f>
        <v>HAALTERT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0.20669078260306126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0.20669078260306126</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7637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1393</v>
      </c>
      <c r="C14" s="330"/>
      <c r="D14" s="330"/>
      <c r="E14" s="330"/>
      <c r="F14" s="330"/>
    </row>
    <row r="15" spans="1:6">
      <c r="A15" s="1305" t="s">
        <v>183</v>
      </c>
      <c r="B15" s="1306">
        <v>9</v>
      </c>
      <c r="C15" s="330"/>
      <c r="D15" s="330"/>
      <c r="E15" s="330"/>
      <c r="F15" s="330"/>
    </row>
    <row r="16" spans="1:6">
      <c r="A16" s="1305" t="s">
        <v>6</v>
      </c>
      <c r="B16" s="1306">
        <v>265</v>
      </c>
      <c r="C16" s="330"/>
      <c r="D16" s="330"/>
      <c r="E16" s="330"/>
      <c r="F16" s="330"/>
    </row>
    <row r="17" spans="1:6">
      <c r="A17" s="1305" t="s">
        <v>7</v>
      </c>
      <c r="B17" s="1306">
        <v>477</v>
      </c>
      <c r="C17" s="330"/>
      <c r="D17" s="330"/>
      <c r="E17" s="330"/>
      <c r="F17" s="330"/>
    </row>
    <row r="18" spans="1:6">
      <c r="A18" s="1305" t="s">
        <v>8</v>
      </c>
      <c r="B18" s="1306">
        <v>508</v>
      </c>
      <c r="C18" s="330"/>
      <c r="D18" s="330"/>
      <c r="E18" s="330"/>
      <c r="F18" s="330"/>
    </row>
    <row r="19" spans="1:6">
      <c r="A19" s="1305" t="s">
        <v>9</v>
      </c>
      <c r="B19" s="1306">
        <v>413</v>
      </c>
      <c r="C19" s="330"/>
      <c r="D19" s="330"/>
      <c r="E19" s="330"/>
      <c r="F19" s="330"/>
    </row>
    <row r="20" spans="1:6">
      <c r="A20" s="1305" t="s">
        <v>10</v>
      </c>
      <c r="B20" s="1306">
        <v>457</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340</v>
      </c>
      <c r="C26" s="330"/>
      <c r="D26" s="330"/>
      <c r="E26" s="330"/>
      <c r="F26" s="330"/>
    </row>
    <row r="27" spans="1:6">
      <c r="A27" s="1305" t="s">
        <v>17</v>
      </c>
      <c r="B27" s="1306">
        <v>5</v>
      </c>
      <c r="C27" s="330"/>
      <c r="D27" s="330"/>
      <c r="E27" s="330"/>
      <c r="F27" s="330"/>
    </row>
    <row r="28" spans="1:6" s="43" customFormat="1">
      <c r="A28" s="1307" t="s">
        <v>18</v>
      </c>
      <c r="B28" s="1308">
        <v>0</v>
      </c>
      <c r="C28" s="336"/>
      <c r="D28" s="336"/>
      <c r="E28" s="336"/>
      <c r="F28" s="336"/>
    </row>
    <row r="29" spans="1:6">
      <c r="A29" s="1307" t="s">
        <v>909</v>
      </c>
      <c r="B29" s="1308">
        <v>76</v>
      </c>
      <c r="C29" s="336"/>
      <c r="D29" s="336"/>
      <c r="E29" s="336"/>
      <c r="F29" s="336"/>
    </row>
    <row r="30" spans="1:6">
      <c r="A30" s="1300" t="s">
        <v>910</v>
      </c>
      <c r="B30" s="1309">
        <v>14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142795.29590123499</v>
      </c>
      <c r="E38" s="1306">
        <v>2</v>
      </c>
      <c r="F38" s="1306">
        <v>44740.35</v>
      </c>
    </row>
    <row r="39" spans="1:6">
      <c r="A39" s="1305" t="s">
        <v>29</v>
      </c>
      <c r="B39" s="1305" t="s">
        <v>30</v>
      </c>
      <c r="C39" s="1306">
        <v>3606</v>
      </c>
      <c r="D39" s="1306">
        <v>54618195.716309004</v>
      </c>
      <c r="E39" s="1306">
        <v>7557</v>
      </c>
      <c r="F39" s="1306">
        <v>32204523</v>
      </c>
    </row>
    <row r="40" spans="1:6">
      <c r="A40" s="1305" t="s">
        <v>29</v>
      </c>
      <c r="B40" s="1305" t="s">
        <v>28</v>
      </c>
      <c r="C40" s="1306">
        <v>0</v>
      </c>
      <c r="D40" s="1306">
        <v>0</v>
      </c>
      <c r="E40" s="1306">
        <v>0</v>
      </c>
      <c r="F40" s="1306">
        <v>0</v>
      </c>
    </row>
    <row r="41" spans="1:6">
      <c r="A41" s="1305" t="s">
        <v>31</v>
      </c>
      <c r="B41" s="1305" t="s">
        <v>32</v>
      </c>
      <c r="C41" s="1306">
        <v>43</v>
      </c>
      <c r="D41" s="1306">
        <v>1673805.0199233701</v>
      </c>
      <c r="E41" s="1306">
        <v>148</v>
      </c>
      <c r="F41" s="1306">
        <v>1371636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9</v>
      </c>
      <c r="F44" s="1306">
        <v>88099.26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57792.004902188899</v>
      </c>
      <c r="E47" s="1306">
        <v>4</v>
      </c>
      <c r="F47" s="1306">
        <v>25086.15</v>
      </c>
    </row>
    <row r="48" spans="1:6">
      <c r="A48" s="1305" t="s">
        <v>31</v>
      </c>
      <c r="B48" s="1305" t="s">
        <v>28</v>
      </c>
      <c r="C48" s="1306">
        <v>33</v>
      </c>
      <c r="D48" s="1306">
        <v>1714898.0758157901</v>
      </c>
      <c r="E48" s="1306">
        <v>51</v>
      </c>
      <c r="F48" s="1306">
        <v>7449498</v>
      </c>
    </row>
    <row r="49" spans="1:6">
      <c r="A49" s="1305" t="s">
        <v>31</v>
      </c>
      <c r="B49" s="1305" t="s">
        <v>39</v>
      </c>
      <c r="C49" s="1306">
        <v>5</v>
      </c>
      <c r="D49" s="1306">
        <v>484265.37114006502</v>
      </c>
      <c r="E49" s="1306">
        <v>11</v>
      </c>
      <c r="F49" s="1306">
        <v>350077.6</v>
      </c>
    </row>
    <row r="50" spans="1:6">
      <c r="A50" s="1305" t="s">
        <v>31</v>
      </c>
      <c r="B50" s="1305" t="s">
        <v>40</v>
      </c>
      <c r="C50" s="1306">
        <v>0</v>
      </c>
      <c r="D50" s="1306">
        <v>0</v>
      </c>
      <c r="E50" s="1306">
        <v>4</v>
      </c>
      <c r="F50" s="1306">
        <v>59529.8</v>
      </c>
    </row>
    <row r="51" spans="1:6">
      <c r="A51" s="1305" t="s">
        <v>41</v>
      </c>
      <c r="B51" s="1305" t="s">
        <v>42</v>
      </c>
      <c r="C51" s="1306">
        <v>0</v>
      </c>
      <c r="D51" s="1306">
        <v>0</v>
      </c>
      <c r="E51" s="1306">
        <v>41</v>
      </c>
      <c r="F51" s="1306">
        <v>279666.7</v>
      </c>
    </row>
    <row r="52" spans="1:6">
      <c r="A52" s="1305" t="s">
        <v>41</v>
      </c>
      <c r="B52" s="1305" t="s">
        <v>28</v>
      </c>
      <c r="C52" s="1306">
        <v>6</v>
      </c>
      <c r="D52" s="1306">
        <v>94316.387368044496</v>
      </c>
      <c r="E52" s="1306">
        <v>15</v>
      </c>
      <c r="F52" s="1306">
        <v>377418.1</v>
      </c>
    </row>
    <row r="53" spans="1:6">
      <c r="A53" s="1305" t="s">
        <v>43</v>
      </c>
      <c r="B53" s="1305" t="s">
        <v>44</v>
      </c>
      <c r="C53" s="1306">
        <v>87</v>
      </c>
      <c r="D53" s="1306">
        <v>1472916.2613942099</v>
      </c>
      <c r="E53" s="1306">
        <v>211</v>
      </c>
      <c r="F53" s="1306">
        <v>858930.6</v>
      </c>
    </row>
    <row r="54" spans="1:6">
      <c r="A54" s="1305" t="s">
        <v>45</v>
      </c>
      <c r="B54" s="1305" t="s">
        <v>46</v>
      </c>
      <c r="C54" s="1306">
        <v>0</v>
      </c>
      <c r="D54" s="1306">
        <v>0</v>
      </c>
      <c r="E54" s="1306">
        <v>1</v>
      </c>
      <c r="F54" s="1306">
        <v>1121110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36</v>
      </c>
      <c r="D57" s="1306">
        <v>1643867.14305945</v>
      </c>
      <c r="E57" s="1306">
        <v>97</v>
      </c>
      <c r="F57" s="1306">
        <v>1199908</v>
      </c>
    </row>
    <row r="58" spans="1:6">
      <c r="A58" s="1305" t="s">
        <v>48</v>
      </c>
      <c r="B58" s="1305" t="s">
        <v>50</v>
      </c>
      <c r="C58" s="1306">
        <v>11</v>
      </c>
      <c r="D58" s="1306">
        <v>260083.868613333</v>
      </c>
      <c r="E58" s="1306">
        <v>23</v>
      </c>
      <c r="F58" s="1306">
        <v>136329.1</v>
      </c>
    </row>
    <row r="59" spans="1:6">
      <c r="A59" s="1305" t="s">
        <v>48</v>
      </c>
      <c r="B59" s="1305" t="s">
        <v>51</v>
      </c>
      <c r="C59" s="1306">
        <v>38</v>
      </c>
      <c r="D59" s="1306">
        <v>1461797.75760445</v>
      </c>
      <c r="E59" s="1306">
        <v>130</v>
      </c>
      <c r="F59" s="1306">
        <v>3598186</v>
      </c>
    </row>
    <row r="60" spans="1:6">
      <c r="A60" s="1305" t="s">
        <v>48</v>
      </c>
      <c r="B60" s="1305" t="s">
        <v>52</v>
      </c>
      <c r="C60" s="1306">
        <v>43</v>
      </c>
      <c r="D60" s="1306">
        <v>1638284.05973747</v>
      </c>
      <c r="E60" s="1306">
        <v>68</v>
      </c>
      <c r="F60" s="1306">
        <v>1120734</v>
      </c>
    </row>
    <row r="61" spans="1:6">
      <c r="A61" s="1305" t="s">
        <v>48</v>
      </c>
      <c r="B61" s="1305" t="s">
        <v>53</v>
      </c>
      <c r="C61" s="1306">
        <v>56</v>
      </c>
      <c r="D61" s="1306">
        <v>1156472.1499644399</v>
      </c>
      <c r="E61" s="1306">
        <v>152</v>
      </c>
      <c r="F61" s="1306">
        <v>1633943</v>
      </c>
    </row>
    <row r="62" spans="1:6">
      <c r="A62" s="1305" t="s">
        <v>48</v>
      </c>
      <c r="B62" s="1305" t="s">
        <v>54</v>
      </c>
      <c r="C62" s="1306">
        <v>0</v>
      </c>
      <c r="D62" s="1306">
        <v>0</v>
      </c>
      <c r="E62" s="1306">
        <v>6</v>
      </c>
      <c r="F62" s="1306">
        <v>131935.4</v>
      </c>
    </row>
    <row r="63" spans="1:6">
      <c r="A63" s="1305" t="s">
        <v>48</v>
      </c>
      <c r="B63" s="1305" t="s">
        <v>28</v>
      </c>
      <c r="C63" s="1306">
        <v>110</v>
      </c>
      <c r="D63" s="1306">
        <v>4760087.9464886496</v>
      </c>
      <c r="E63" s="1306">
        <v>136</v>
      </c>
      <c r="F63" s="1306">
        <v>2438046</v>
      </c>
    </row>
    <row r="64" spans="1:6">
      <c r="A64" s="1305" t="s">
        <v>55</v>
      </c>
      <c r="B64" s="1305" t="s">
        <v>56</v>
      </c>
      <c r="C64" s="1306">
        <v>0</v>
      </c>
      <c r="D64" s="1306">
        <v>0</v>
      </c>
      <c r="E64" s="1306">
        <v>0</v>
      </c>
      <c r="F64" s="1306">
        <v>0</v>
      </c>
    </row>
    <row r="65" spans="1:6">
      <c r="A65" s="1305" t="s">
        <v>55</v>
      </c>
      <c r="B65" s="1305" t="s">
        <v>28</v>
      </c>
      <c r="C65" s="1306">
        <v>1</v>
      </c>
      <c r="D65" s="1306">
        <v>20256.5830872158</v>
      </c>
      <c r="E65" s="1306">
        <v>1</v>
      </c>
      <c r="F65" s="1306">
        <v>1991.633</v>
      </c>
    </row>
    <row r="66" spans="1:6">
      <c r="A66" s="1305" t="s">
        <v>55</v>
      </c>
      <c r="B66" s="1305" t="s">
        <v>57</v>
      </c>
      <c r="C66" s="1306">
        <v>0</v>
      </c>
      <c r="D66" s="1306">
        <v>0</v>
      </c>
      <c r="E66" s="1306">
        <v>3</v>
      </c>
      <c r="F66" s="1306">
        <v>139971.20000000001</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78101.509999999995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58549183</v>
      </c>
      <c r="E73" s="450"/>
      <c r="F73" s="330"/>
    </row>
    <row r="74" spans="1:6">
      <c r="A74" s="1305" t="s">
        <v>63</v>
      </c>
      <c r="B74" s="1305" t="s">
        <v>710</v>
      </c>
      <c r="C74" s="1319" t="s">
        <v>712</v>
      </c>
      <c r="D74" s="1320">
        <v>9126565.0026438013</v>
      </c>
      <c r="E74" s="450"/>
      <c r="F74" s="330"/>
    </row>
    <row r="75" spans="1:6">
      <c r="A75" s="1305" t="s">
        <v>64</v>
      </c>
      <c r="B75" s="1305" t="s">
        <v>709</v>
      </c>
      <c r="C75" s="1319" t="s">
        <v>713</v>
      </c>
      <c r="D75" s="1320">
        <v>31611228</v>
      </c>
      <c r="E75" s="450"/>
      <c r="F75" s="330"/>
    </row>
    <row r="76" spans="1:6">
      <c r="A76" s="1305" t="s">
        <v>64</v>
      </c>
      <c r="B76" s="1305" t="s">
        <v>710</v>
      </c>
      <c r="C76" s="1319" t="s">
        <v>714</v>
      </c>
      <c r="D76" s="1320">
        <v>1726256.0026438008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208591.9947123983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3445.6425018815557</v>
      </c>
      <c r="C91" s="330"/>
      <c r="D91" s="330"/>
      <c r="E91" s="330"/>
      <c r="F91" s="330"/>
    </row>
    <row r="92" spans="1:6">
      <c r="A92" s="1300" t="s">
        <v>68</v>
      </c>
      <c r="B92" s="1301">
        <v>303.27534297555587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1522</v>
      </c>
      <c r="C97" s="330"/>
      <c r="D97" s="330"/>
      <c r="E97" s="330"/>
      <c r="F97" s="330"/>
    </row>
    <row r="98" spans="1:6">
      <c r="A98" s="1305" t="s">
        <v>71</v>
      </c>
      <c r="B98" s="1306">
        <v>0</v>
      </c>
      <c r="C98" s="330"/>
      <c r="D98" s="330"/>
      <c r="E98" s="330"/>
      <c r="F98" s="330"/>
    </row>
    <row r="99" spans="1:6">
      <c r="A99" s="1305" t="s">
        <v>72</v>
      </c>
      <c r="B99" s="1306">
        <v>224</v>
      </c>
      <c r="C99" s="330"/>
      <c r="D99" s="330"/>
      <c r="E99" s="330"/>
      <c r="F99" s="330"/>
    </row>
    <row r="100" spans="1:6">
      <c r="A100" s="1305" t="s">
        <v>73</v>
      </c>
      <c r="B100" s="1306">
        <v>676</v>
      </c>
      <c r="C100" s="330"/>
      <c r="D100" s="330"/>
      <c r="E100" s="330"/>
      <c r="F100" s="330"/>
    </row>
    <row r="101" spans="1:6">
      <c r="A101" s="1305" t="s">
        <v>74</v>
      </c>
      <c r="B101" s="1306">
        <v>93</v>
      </c>
      <c r="C101" s="330"/>
      <c r="D101" s="330"/>
      <c r="E101" s="330"/>
      <c r="F101" s="330"/>
    </row>
    <row r="102" spans="1:6">
      <c r="A102" s="1305" t="s">
        <v>75</v>
      </c>
      <c r="B102" s="1306">
        <v>115</v>
      </c>
      <c r="C102" s="330"/>
      <c r="D102" s="330"/>
      <c r="E102" s="330"/>
      <c r="F102" s="330"/>
    </row>
    <row r="103" spans="1:6">
      <c r="A103" s="1305" t="s">
        <v>76</v>
      </c>
      <c r="B103" s="1306">
        <v>389</v>
      </c>
      <c r="C103" s="330"/>
      <c r="D103" s="330"/>
      <c r="E103" s="330"/>
      <c r="F103" s="330"/>
    </row>
    <row r="104" spans="1:6">
      <c r="A104" s="1305" t="s">
        <v>77</v>
      </c>
      <c r="B104" s="1306">
        <v>3739</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19</v>
      </c>
      <c r="C123" s="1306">
        <v>16</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123</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24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57900.500127328414</v>
      </c>
      <c r="C3" s="43" t="s">
        <v>169</v>
      </c>
      <c r="D3" s="43"/>
      <c r="E3" s="154"/>
      <c r="F3" s="43"/>
      <c r="G3" s="43"/>
      <c r="H3" s="43"/>
      <c r="I3" s="43"/>
      <c r="J3" s="43"/>
      <c r="K3" s="96"/>
    </row>
    <row r="4" spans="1:11">
      <c r="A4" s="359" t="s">
        <v>170</v>
      </c>
      <c r="B4" s="49">
        <f>IF(ISERROR('SEAP template'!B78+'SEAP template'!C78),0,'SEAP template'!B78+'SEAP template'!C78)</f>
        <v>3748.9178448571115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0.20669078260306126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1121.1099999999999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1121.1099999999999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0.20669078260306126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231.723103284118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32204.523000000001</v>
      </c>
      <c r="C5" s="17">
        <f>IF(ISERROR('Eigen informatie GS &amp; warmtenet'!B57),0,'Eigen informatie GS &amp; warmtenet'!B57)</f>
        <v>0</v>
      </c>
      <c r="D5" s="30">
        <f>(SUM(HH_hh_gas_kWh,HH_rest_gas_kWh)/1000)*0.902</f>
        <v>49265.612536110726</v>
      </c>
      <c r="E5" s="17">
        <f>B46*B57</f>
        <v>34988.360292528065</v>
      </c>
      <c r="F5" s="17">
        <f>B51*B62</f>
        <v>41717.398834506232</v>
      </c>
      <c r="G5" s="18"/>
      <c r="H5" s="17"/>
      <c r="I5" s="17"/>
      <c r="J5" s="17">
        <f>B50*B61+C50*C61</f>
        <v>4923.9063171759044</v>
      </c>
      <c r="K5" s="17"/>
      <c r="L5" s="17"/>
      <c r="M5" s="17"/>
      <c r="N5" s="17">
        <f>B48*B59+C48*C59</f>
        <v>10475.336582362066</v>
      </c>
      <c r="O5" s="17">
        <f>B69*B70*B71</f>
        <v>218.86666666666667</v>
      </c>
      <c r="P5" s="17">
        <f>B77*B78*B79/1000-B77*B78*B79/1000/B80</f>
        <v>838.93333333333339</v>
      </c>
    </row>
    <row r="6" spans="1:16">
      <c r="A6" s="16" t="s">
        <v>630</v>
      </c>
      <c r="B6" s="763">
        <f>kWh_PV_kleiner_dan_10kW</f>
        <v>3445.6425018815557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35650.165501881558</v>
      </c>
      <c r="C8" s="21">
        <f>C5</f>
        <v>0</v>
      </c>
      <c r="D8" s="21">
        <f>D5</f>
        <v>49265.612536110726</v>
      </c>
      <c r="E8" s="21">
        <f>E5</f>
        <v>34988.360292528065</v>
      </c>
      <c r="F8" s="21">
        <f>F5</f>
        <v>41717.398834506232</v>
      </c>
      <c r="G8" s="21"/>
      <c r="H8" s="21"/>
      <c r="I8" s="21"/>
      <c r="J8" s="21">
        <f>J5</f>
        <v>4923.9063171759044</v>
      </c>
      <c r="K8" s="21"/>
      <c r="L8" s="21">
        <f>L5</f>
        <v>0</v>
      </c>
      <c r="M8" s="21">
        <f>M5</f>
        <v>0</v>
      </c>
      <c r="N8" s="21">
        <f>N5</f>
        <v>10475.336582362066</v>
      </c>
      <c r="O8" s="21">
        <f>O5</f>
        <v>218.86666666666667</v>
      </c>
      <c r="P8" s="21">
        <f>P5</f>
        <v>838.93333333333339</v>
      </c>
    </row>
    <row r="9" spans="1:16">
      <c r="B9" s="19"/>
      <c r="C9" s="19"/>
      <c r="D9" s="258"/>
      <c r="E9" s="19"/>
      <c r="F9" s="19"/>
      <c r="G9" s="19"/>
      <c r="H9" s="19"/>
      <c r="I9" s="19"/>
      <c r="J9" s="19"/>
      <c r="K9" s="19"/>
      <c r="L9" s="19"/>
      <c r="M9" s="19"/>
      <c r="N9" s="19"/>
      <c r="O9" s="19"/>
      <c r="P9" s="19"/>
    </row>
    <row r="10" spans="1:16">
      <c r="A10" s="24" t="s">
        <v>213</v>
      </c>
      <c r="B10" s="25">
        <f ca="1">'EF ele_warmte'!B12</f>
        <v>0.20669078260306126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7368.5606075125552</v>
      </c>
      <c r="C12" s="23">
        <f ca="1">C10*C8</f>
        <v>0</v>
      </c>
      <c r="D12" s="23">
        <f>D8*D10</f>
        <v>9951.6537322943677</v>
      </c>
      <c r="E12" s="23">
        <f>E10*E8</f>
        <v>7942.3577864038707</v>
      </c>
      <c r="F12" s="23">
        <f>F10*F8</f>
        <v>11138.545488813164</v>
      </c>
      <c r="G12" s="23"/>
      <c r="H12" s="23"/>
      <c r="I12" s="23"/>
      <c r="J12" s="23">
        <f>J10*J8</f>
        <v>1743.0628362802702</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1522</v>
      </c>
      <c r="C18" s="166" t="s">
        <v>110</v>
      </c>
      <c r="D18" s="228"/>
      <c r="E18" s="15"/>
    </row>
    <row r="19" spans="1:7">
      <c r="A19" s="171" t="s">
        <v>71</v>
      </c>
      <c r="B19" s="37">
        <f>aantalw2001_ander</f>
        <v>0</v>
      </c>
      <c r="C19" s="166" t="s">
        <v>110</v>
      </c>
      <c r="D19" s="229"/>
      <c r="E19" s="15"/>
    </row>
    <row r="20" spans="1:7">
      <c r="A20" s="171" t="s">
        <v>72</v>
      </c>
      <c r="B20" s="37">
        <f>aantalw2001_propaan</f>
        <v>224</v>
      </c>
      <c r="C20" s="167">
        <f>IF(ISERROR(B20/SUM($B$20,$B$21,$B$22)*100),0,B20/SUM($B$20,$B$21,$B$22)*100)</f>
        <v>22.557905337361532</v>
      </c>
      <c r="D20" s="229"/>
      <c r="E20" s="15"/>
    </row>
    <row r="21" spans="1:7">
      <c r="A21" s="171" t="s">
        <v>73</v>
      </c>
      <c r="B21" s="37">
        <f>aantalw2001_elektriciteit</f>
        <v>676</v>
      </c>
      <c r="C21" s="167">
        <f>IF(ISERROR(B21/SUM($B$20,$B$21,$B$22)*100),0,B21/SUM($B$20,$B$21,$B$22)*100)</f>
        <v>68.076535750251765</v>
      </c>
      <c r="D21" s="229"/>
      <c r="E21" s="15"/>
    </row>
    <row r="22" spans="1:7">
      <c r="A22" s="171" t="s">
        <v>74</v>
      </c>
      <c r="B22" s="37">
        <f>aantalw2001_hout</f>
        <v>93</v>
      </c>
      <c r="C22" s="167">
        <f>IF(ISERROR(B22/SUM($B$20,$B$21,$B$22)*100),0,B22/SUM($B$20,$B$21,$B$22)*100)</f>
        <v>9.3655589123867067</v>
      </c>
      <c r="D22" s="229"/>
      <c r="E22" s="15"/>
    </row>
    <row r="23" spans="1:7">
      <c r="A23" s="171" t="s">
        <v>75</v>
      </c>
      <c r="B23" s="37">
        <f>aantalw2001_niet_gespec</f>
        <v>115</v>
      </c>
      <c r="C23" s="166" t="s">
        <v>110</v>
      </c>
      <c r="D23" s="228"/>
      <c r="E23" s="15"/>
    </row>
    <row r="24" spans="1:7">
      <c r="A24" s="171" t="s">
        <v>76</v>
      </c>
      <c r="B24" s="37">
        <f>aantalw2001_steenkool</f>
        <v>389</v>
      </c>
      <c r="C24" s="166" t="s">
        <v>110</v>
      </c>
      <c r="D24" s="229"/>
      <c r="E24" s="15"/>
    </row>
    <row r="25" spans="1:7">
      <c r="A25" s="171" t="s">
        <v>77</v>
      </c>
      <c r="B25" s="37">
        <f>aantalw2001_stookolie</f>
        <v>3739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7637</v>
      </c>
      <c r="C28" s="36"/>
      <c r="D28" s="228"/>
    </row>
    <row r="29" spans="1:7" s="15" customFormat="1">
      <c r="A29" s="230" t="s">
        <v>737</v>
      </c>
      <c r="B29" s="37">
        <f>SUM(HH_hh_gas_aantal,HH_rest_gas_aantal)</f>
        <v>3606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3606</v>
      </c>
      <c r="C32" s="167">
        <f>IF(ISERROR(B32/SUM($B$32,$B$34,$B$35,$B$36,$B$38,$B$39)*100),0,B32/SUM($B$32,$B$34,$B$35,$B$36,$B$38,$B$39)*100)</f>
        <v>47.491110233109438</v>
      </c>
      <c r="D32" s="233"/>
      <c r="G32" s="15"/>
    </row>
    <row r="33" spans="1:7">
      <c r="A33" s="171" t="s">
        <v>71</v>
      </c>
      <c r="B33" s="34" t="s">
        <v>110</v>
      </c>
      <c r="C33" s="167"/>
      <c r="D33" s="233"/>
      <c r="G33" s="15"/>
    </row>
    <row r="34" spans="1:7">
      <c r="A34" s="171" t="s">
        <v>72</v>
      </c>
      <c r="B34" s="33">
        <f>IF((($B$28-$B$32-$B$39-$B$77-$B$38)*C20/100)&lt;0,0,($B$28-$B$32-$B$39-$B$77-$B$38)*C20/100)</f>
        <v>438.30010070493466</v>
      </c>
      <c r="C34" s="167">
        <f>IF(ISERROR(B34/SUM($B$32,$B$34,$B$35,$B$36,$B$38,$B$39)*100),0,B34/SUM($B$32,$B$34,$B$35,$B$36,$B$38,$B$39)*100)</f>
        <v>5.7724232938882478</v>
      </c>
      <c r="D34" s="233"/>
      <c r="G34" s="15"/>
    </row>
    <row r="35" spans="1:7">
      <c r="A35" s="171" t="s">
        <v>73</v>
      </c>
      <c r="B35" s="33">
        <f>IF((($B$28-$B$32-$B$39-$B$77-$B$38)*C21/100)&lt;0,0,($B$28-$B$32-$B$39-$B$77-$B$38)*C21/100)</f>
        <v>1322.7270896273922</v>
      </c>
      <c r="C35" s="167">
        <f>IF(ISERROR(B35/SUM($B$32,$B$34,$B$35,$B$36,$B$38,$B$39)*100),0,B35/SUM($B$32,$B$34,$B$35,$B$36,$B$38,$B$39)*100)</f>
        <v>17.420348869055605</v>
      </c>
      <c r="D35" s="233"/>
      <c r="G35" s="15"/>
    </row>
    <row r="36" spans="1:7">
      <c r="A36" s="171" t="s">
        <v>74</v>
      </c>
      <c r="B36" s="33">
        <f>IF((($B$28-$B$32-$B$39-$B$77-$B$38)*C22/100)&lt;0,0,($B$28-$B$32-$B$39-$B$77-$B$38)*C22/100)</f>
        <v>181.97280966767374</v>
      </c>
      <c r="C36" s="167">
        <f>IF(ISERROR(B36/SUM($B$32,$B$34,$B$35,$B$36,$B$38,$B$39)*100),0,B36/SUM($B$32,$B$34,$B$35,$B$36,$B$38,$B$39)*100)</f>
        <v>2.396586456837531</v>
      </c>
      <c r="D36" s="233"/>
      <c r="G36" s="15"/>
    </row>
    <row r="37" spans="1:7">
      <c r="A37" s="171" t="s">
        <v>75</v>
      </c>
      <c r="B37" s="34" t="s">
        <v>110</v>
      </c>
      <c r="C37" s="167"/>
      <c r="D37" s="173"/>
      <c r="G37" s="15"/>
    </row>
    <row r="38" spans="1:7">
      <c r="A38" s="171" t="s">
        <v>76</v>
      </c>
      <c r="B38" s="33">
        <f>IF((B24-(B29-B18)*0.1)&lt;0,0,B24-(B29-B18)*0.1)</f>
        <v>180.6</v>
      </c>
      <c r="C38" s="167">
        <f>IF(ISERROR(B38/SUM($B$32,$B$34,$B$35,$B$36,$B$38,$B$39)*100),0,B38/SUM($B$32,$B$34,$B$35,$B$36,$B$38,$B$39)*100)</f>
        <v>2.3785065191623862</v>
      </c>
      <c r="D38" s="234"/>
      <c r="G38" s="15"/>
    </row>
    <row r="39" spans="1:7">
      <c r="A39" s="171" t="s">
        <v>77</v>
      </c>
      <c r="B39" s="33">
        <f>IF((B25-(B29-B18))&lt;0,0,B25-(B29-B18)*0.9)</f>
        <v>1863.3999999999999</v>
      </c>
      <c r="C39" s="167">
        <f>IF(ISERROR(B39/SUM($B$32,$B$34,$B$35,$B$36,$B$38,$B$39)*100),0,B39/SUM($B$32,$B$34,$B$35,$B$36,$B$38,$B$39)*100)</f>
        <v>24.541024627946793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3606</v>
      </c>
      <c r="C44" s="34" t="s">
        <v>110</v>
      </c>
      <c r="D44" s="174"/>
    </row>
    <row r="45" spans="1:7">
      <c r="A45" s="171" t="s">
        <v>71</v>
      </c>
      <c r="B45" s="33" t="str">
        <f t="shared" si="0"/>
        <v>-</v>
      </c>
      <c r="C45" s="34" t="s">
        <v>110</v>
      </c>
      <c r="D45" s="174"/>
    </row>
    <row r="46" spans="1:7">
      <c r="A46" s="171" t="s">
        <v>72</v>
      </c>
      <c r="B46" s="33">
        <f t="shared" si="0"/>
        <v>438.30010070493466</v>
      </c>
      <c r="C46" s="34" t="s">
        <v>110</v>
      </c>
      <c r="D46" s="174"/>
    </row>
    <row r="47" spans="1:7">
      <c r="A47" s="171" t="s">
        <v>73</v>
      </c>
      <c r="B47" s="33">
        <f t="shared" si="0"/>
        <v>1322.7270896273922</v>
      </c>
      <c r="C47" s="34" t="s">
        <v>110</v>
      </c>
      <c r="D47" s="174"/>
    </row>
    <row r="48" spans="1:7">
      <c r="A48" s="171" t="s">
        <v>74</v>
      </c>
      <c r="B48" s="33">
        <f t="shared" si="0"/>
        <v>181.97280966767374</v>
      </c>
      <c r="C48" s="33">
        <f>B48*10</f>
        <v>1819.7280966767376</v>
      </c>
      <c r="D48" s="234"/>
    </row>
    <row r="49" spans="1:6">
      <c r="A49" s="171" t="s">
        <v>75</v>
      </c>
      <c r="B49" s="33" t="str">
        <f t="shared" si="0"/>
        <v>-</v>
      </c>
      <c r="C49" s="34" t="s">
        <v>110</v>
      </c>
      <c r="D49" s="234"/>
    </row>
    <row r="50" spans="1:6">
      <c r="A50" s="171" t="s">
        <v>76</v>
      </c>
      <c r="B50" s="33">
        <f t="shared" si="0"/>
        <v>180.6</v>
      </c>
      <c r="C50" s="33">
        <f>B50*2</f>
        <v>361.2</v>
      </c>
      <c r="D50" s="234"/>
    </row>
    <row r="51" spans="1:6">
      <c r="A51" s="171" t="s">
        <v>77</v>
      </c>
      <c r="B51" s="33">
        <f t="shared" si="0"/>
        <v>1863.3999999999999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10259.0815</v>
      </c>
      <c r="C5" s="17">
        <f>IF(ISERROR('Eigen informatie GS &amp; warmtenet'!B58),0,'Eigen informatie GS &amp; warmtenet'!B58)</f>
        <v>0</v>
      </c>
      <c r="D5" s="30">
        <f>SUM(D6:D12)</f>
        <v>9850.3748187719484</v>
      </c>
      <c r="E5" s="17">
        <f>SUM(E6:E12)</f>
        <v>116.78118481191851</v>
      </c>
      <c r="F5" s="17">
        <f>SUM(F6:F12)</f>
        <v>1570.0618426479405</v>
      </c>
      <c r="G5" s="18"/>
      <c r="H5" s="17"/>
      <c r="I5" s="17"/>
      <c r="J5" s="17">
        <f>SUM(J6:J12)</f>
        <v>0</v>
      </c>
      <c r="K5" s="17"/>
      <c r="L5" s="17"/>
      <c r="M5" s="17"/>
      <c r="N5" s="17">
        <f>SUM(N6:N12)</f>
        <v>1100.2190721302582</v>
      </c>
      <c r="O5" s="17">
        <f>B38*B39*B40</f>
        <v>3.1266666666666669</v>
      </c>
      <c r="P5" s="17">
        <f>B46*B47*B48/1000-B46*B47*B48/1000/B49</f>
        <v>0</v>
      </c>
      <c r="R5" s="32"/>
    </row>
    <row r="6" spans="1:18">
      <c r="A6" s="32" t="s">
        <v>53</v>
      </c>
      <c r="B6" s="37">
        <f>B26</f>
        <v>1633.943</v>
      </c>
      <c r="C6" s="33"/>
      <c r="D6" s="37">
        <f>IF(ISERROR(TER_kantoor_gas_kWh/1000),0,TER_kantoor_gas_kWh/1000)*0.902</f>
        <v>1043.137879267925</v>
      </c>
      <c r="E6" s="33">
        <f>$C$26*'E Balans VL '!I12/100/3.6*1000000</f>
        <v>4.7337726044305253</v>
      </c>
      <c r="F6" s="33">
        <f>$C$26*('E Balans VL '!L12+'E Balans VL '!N12)/100/3.6*1000000</f>
        <v>184.9263490446576</v>
      </c>
      <c r="G6" s="34"/>
      <c r="H6" s="33"/>
      <c r="I6" s="33"/>
      <c r="J6" s="33">
        <f>$C$26*('E Balans VL '!D12+'E Balans VL '!E12)/100/3.6*1000000</f>
        <v>0</v>
      </c>
      <c r="K6" s="33"/>
      <c r="L6" s="33"/>
      <c r="M6" s="33"/>
      <c r="N6" s="33">
        <f>$C$26*'E Balans VL '!Y12/100/3.6*1000000</f>
        <v>16.354565487043029</v>
      </c>
      <c r="O6" s="33"/>
      <c r="P6" s="33"/>
      <c r="R6" s="32"/>
    </row>
    <row r="7" spans="1:18">
      <c r="A7" s="32" t="s">
        <v>52</v>
      </c>
      <c r="B7" s="37">
        <f t="shared" ref="B7:B12" si="0">B27</f>
        <v>1120.7339999999999</v>
      </c>
      <c r="C7" s="33"/>
      <c r="D7" s="37">
        <f>IF(ISERROR(TER_horeca_gas_kWh/1000),0,TER_horeca_gas_kWh/1000)*0.902</f>
        <v>1477.732221883198</v>
      </c>
      <c r="E7" s="33">
        <f>$C$27*'E Balans VL '!I9/100/3.6*1000000</f>
        <v>47.045282051089877</v>
      </c>
      <c r="F7" s="33">
        <f>$C$27*('E Balans VL '!L9+'E Balans VL '!N9)/100/3.6*1000000</f>
        <v>240.81268271525926</v>
      </c>
      <c r="G7" s="34"/>
      <c r="H7" s="33"/>
      <c r="I7" s="33"/>
      <c r="J7" s="33">
        <f>$C$27*('E Balans VL '!D9+'E Balans VL '!E9)/100/3.6*1000000</f>
        <v>0</v>
      </c>
      <c r="K7" s="33"/>
      <c r="L7" s="33"/>
      <c r="M7" s="33"/>
      <c r="N7" s="33">
        <f>$C$27*'E Balans VL '!Y9/100/3.6*1000000</f>
        <v>0.28880335062560969</v>
      </c>
      <c r="O7" s="33"/>
      <c r="P7" s="33"/>
      <c r="R7" s="32"/>
    </row>
    <row r="8" spans="1:18">
      <c r="A8" s="6" t="s">
        <v>51</v>
      </c>
      <c r="B8" s="37">
        <f t="shared" si="0"/>
        <v>3598.1860000000001</v>
      </c>
      <c r="C8" s="33"/>
      <c r="D8" s="37">
        <f>IF(ISERROR(TER_handel_gas_kWh/1000),0,TER_handel_gas_kWh/1000)*0.902</f>
        <v>1318.541577359214</v>
      </c>
      <c r="E8" s="33">
        <f>$C$28*'E Balans VL '!I13/100/3.6*1000000</f>
        <v>38.647512325079113</v>
      </c>
      <c r="F8" s="33">
        <f>$C$28*('E Balans VL '!L13+'E Balans VL '!N13)/100/3.6*1000000</f>
        <v>465.8148909074564</v>
      </c>
      <c r="G8" s="34"/>
      <c r="H8" s="33"/>
      <c r="I8" s="33"/>
      <c r="J8" s="33">
        <f>$C$28*('E Balans VL '!D13+'E Balans VL '!E13)/100/3.6*1000000</f>
        <v>0</v>
      </c>
      <c r="K8" s="33"/>
      <c r="L8" s="33"/>
      <c r="M8" s="33"/>
      <c r="N8" s="33">
        <f>$C$28*'E Balans VL '!Y13/100/3.6*1000000</f>
        <v>29.188681301498004</v>
      </c>
      <c r="O8" s="33"/>
      <c r="P8" s="33"/>
      <c r="R8" s="32"/>
    </row>
    <row r="9" spans="1:18">
      <c r="A9" s="32" t="s">
        <v>50</v>
      </c>
      <c r="B9" s="37">
        <f t="shared" si="0"/>
        <v>136.32910000000001</v>
      </c>
      <c r="C9" s="33"/>
      <c r="D9" s="37">
        <f>IF(ISERROR(TER_gezond_gas_kWh/1000),0,TER_gezond_gas_kWh/1000)*0.902</f>
        <v>234.59564948922636</v>
      </c>
      <c r="E9" s="33">
        <f>$C$29*'E Balans VL '!I10/100/3.6*1000000</f>
        <v>0.10852678112995941</v>
      </c>
      <c r="F9" s="33">
        <f>$C$29*('E Balans VL '!L10+'E Balans VL '!N10)/100/3.6*1000000</f>
        <v>16.572772237945671</v>
      </c>
      <c r="G9" s="34"/>
      <c r="H9" s="33"/>
      <c r="I9" s="33"/>
      <c r="J9" s="33">
        <f>$C$29*('E Balans VL '!D10+'E Balans VL '!E10)/100/3.6*1000000</f>
        <v>0</v>
      </c>
      <c r="K9" s="33"/>
      <c r="L9" s="33"/>
      <c r="M9" s="33"/>
      <c r="N9" s="33">
        <f>$C$29*'E Balans VL '!Y10/100/3.6*1000000</f>
        <v>1.1012303517780431</v>
      </c>
      <c r="O9" s="33"/>
      <c r="P9" s="33"/>
      <c r="R9" s="32"/>
    </row>
    <row r="10" spans="1:18">
      <c r="A10" s="32" t="s">
        <v>49</v>
      </c>
      <c r="B10" s="37">
        <f t="shared" si="0"/>
        <v>1199.9079999999999</v>
      </c>
      <c r="C10" s="33"/>
      <c r="D10" s="37">
        <f>IF(ISERROR(TER_ander_gas_kWh/1000),0,TER_ander_gas_kWh/1000)*0.902</f>
        <v>1482.7681630396239</v>
      </c>
      <c r="E10" s="33">
        <f>$C$30*'E Balans VL '!I14/100/3.6*1000000</f>
        <v>4.1121477510861073</v>
      </c>
      <c r="F10" s="33">
        <f>$C$30*('E Balans VL '!L14+'E Balans VL '!N14)/100/3.6*1000000</f>
        <v>268.01068868246278</v>
      </c>
      <c r="G10" s="34"/>
      <c r="H10" s="33"/>
      <c r="I10" s="33"/>
      <c r="J10" s="33">
        <f>$C$30*('E Balans VL '!D14+'E Balans VL '!E14)/100/3.6*1000000</f>
        <v>0</v>
      </c>
      <c r="K10" s="33"/>
      <c r="L10" s="33"/>
      <c r="M10" s="33"/>
      <c r="N10" s="33">
        <f>$C$30*'E Balans VL '!Y14/100/3.6*1000000</f>
        <v>845.22175016927213</v>
      </c>
      <c r="O10" s="33"/>
      <c r="P10" s="33"/>
      <c r="R10" s="32"/>
    </row>
    <row r="11" spans="1:18">
      <c r="A11" s="32" t="s">
        <v>54</v>
      </c>
      <c r="B11" s="37">
        <f t="shared" si="0"/>
        <v>131.93539999999999</v>
      </c>
      <c r="C11" s="33"/>
      <c r="D11" s="37">
        <f>IF(ISERROR(TER_onderwijs_gas_kWh/1000),0,TER_onderwijs_gas_kWh/1000)*0.902</f>
        <v>0</v>
      </c>
      <c r="E11" s="33">
        <f>$C$31*'E Balans VL '!I11/100/3.6*1000000</f>
        <v>9.1202878729466016E-2</v>
      </c>
      <c r="F11" s="33">
        <f>$C$31*('E Balans VL '!L11+'E Balans VL '!N11)/100/3.6*1000000</f>
        <v>34.536855256668879</v>
      </c>
      <c r="G11" s="34"/>
      <c r="H11" s="33"/>
      <c r="I11" s="33"/>
      <c r="J11" s="33">
        <f>$C$31*('E Balans VL '!D11+'E Balans VL '!E11)/100/3.6*1000000</f>
        <v>0</v>
      </c>
      <c r="K11" s="33"/>
      <c r="L11" s="33"/>
      <c r="M11" s="33"/>
      <c r="N11" s="33">
        <f>$C$31*'E Balans VL '!Y11/100/3.6*1000000</f>
        <v>0.13133045331923654</v>
      </c>
      <c r="O11" s="33"/>
      <c r="P11" s="33"/>
      <c r="R11" s="32"/>
    </row>
    <row r="12" spans="1:18">
      <c r="A12" s="32" t="s">
        <v>259</v>
      </c>
      <c r="B12" s="37">
        <f t="shared" si="0"/>
        <v>2438.0459999999998</v>
      </c>
      <c r="C12" s="33"/>
      <c r="D12" s="37">
        <f>IF(ISERROR(TER_rest_gas_kWh/1000),0,TER_rest_gas_kWh/1000)*0.902</f>
        <v>4293.5993277327616</v>
      </c>
      <c r="E12" s="33">
        <f>$C$32*'E Balans VL '!I8/100/3.6*1000000</f>
        <v>22.042740420373462</v>
      </c>
      <c r="F12" s="33">
        <f>$C$32*('E Balans VL '!L8+'E Balans VL '!N8)/100/3.6*1000000</f>
        <v>359.38760380349015</v>
      </c>
      <c r="G12" s="34"/>
      <c r="H12" s="33"/>
      <c r="I12" s="33"/>
      <c r="J12" s="33">
        <f>$C$32*('E Balans VL '!D8+'E Balans VL '!E8)/100/3.6*1000000</f>
        <v>0</v>
      </c>
      <c r="K12" s="33"/>
      <c r="L12" s="33"/>
      <c r="M12" s="33"/>
      <c r="N12" s="33">
        <f>$C$32*'E Balans VL '!Y8/100/3.6*1000000</f>
        <v>207.93271101672212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10259.0815</v>
      </c>
      <c r="C16" s="21">
        <f t="shared" ca="1" si="1"/>
        <v>0</v>
      </c>
      <c r="D16" s="21">
        <f t="shared" ca="1" si="1"/>
        <v>9850.3748187719484</v>
      </c>
      <c r="E16" s="21">
        <f t="shared" si="1"/>
        <v>116.78118481191851</v>
      </c>
      <c r="F16" s="21">
        <f t="shared" ca="1" si="1"/>
        <v>1570.0618426479405</v>
      </c>
      <c r="G16" s="21">
        <f t="shared" si="1"/>
        <v>0</v>
      </c>
      <c r="H16" s="21">
        <f t="shared" si="1"/>
        <v>0</v>
      </c>
      <c r="I16" s="21">
        <f t="shared" si="1"/>
        <v>0</v>
      </c>
      <c r="J16" s="21">
        <f t="shared" si="1"/>
        <v>0</v>
      </c>
      <c r="K16" s="21">
        <f t="shared" si="1"/>
        <v>0</v>
      </c>
      <c r="L16" s="21">
        <f t="shared" ca="1" si="1"/>
        <v>0</v>
      </c>
      <c r="M16" s="21">
        <f t="shared" si="1"/>
        <v>0</v>
      </c>
      <c r="N16" s="21">
        <f t="shared" ca="1" si="1"/>
        <v>1100.2190721302582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0.20669078260306126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2120.4575840235875</v>
      </c>
      <c r="C20" s="23">
        <f t="shared" ref="C20:P20" ca="1" si="2">C16*C18</f>
        <v>0</v>
      </c>
      <c r="D20" s="23">
        <f t="shared" ca="1" si="2"/>
        <v>1989.7757133919338</v>
      </c>
      <c r="E20" s="23">
        <f t="shared" si="2"/>
        <v>26.509328952305502</v>
      </c>
      <c r="F20" s="23">
        <f t="shared" ca="1" si="2"/>
        <v>419.20651198700011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1633.943</v>
      </c>
      <c r="C26" s="39">
        <f>IF(ISERROR(B26*3.6/1000000/'E Balans VL '!Z12*100),0,B26*3.6/1000000/'E Balans VL '!Z12*100)</f>
        <v>3.5891447022269984E-2</v>
      </c>
      <c r="D26" s="237" t="s">
        <v>691</v>
      </c>
      <c r="F26" s="6"/>
    </row>
    <row r="27" spans="1:18">
      <c r="A27" s="231" t="s">
        <v>52</v>
      </c>
      <c r="B27" s="33">
        <f>IF(ISERROR(TER_horeca_ele_kWh/1000),0,TER_horeca_ele_kWh/1000)</f>
        <v>1120.7339999999999</v>
      </c>
      <c r="C27" s="39">
        <f>IF(ISERROR(B27*3.6/1000000/'E Balans VL '!Z9*100),0,B27*3.6/1000000/'E Balans VL '!Z9*100)</f>
        <v>9.0062148508460754E-2</v>
      </c>
      <c r="D27" s="237" t="s">
        <v>691</v>
      </c>
      <c r="F27" s="6"/>
    </row>
    <row r="28" spans="1:18">
      <c r="A28" s="171" t="s">
        <v>51</v>
      </c>
      <c r="B28" s="33">
        <f>IF(ISERROR(TER_handel_ele_kWh/1000),0,TER_handel_ele_kWh/1000)</f>
        <v>3598.1860000000001</v>
      </c>
      <c r="C28" s="39">
        <f>IF(ISERROR(B28*3.6/1000000/'E Balans VL '!Z13*100),0,B28*3.6/1000000/'E Balans VL '!Z13*100)</f>
        <v>0.10639584627448037</v>
      </c>
      <c r="D28" s="237" t="s">
        <v>691</v>
      </c>
      <c r="F28" s="6"/>
    </row>
    <row r="29" spans="1:18">
      <c r="A29" s="231" t="s">
        <v>50</v>
      </c>
      <c r="B29" s="33">
        <f>IF(ISERROR(TER_gezond_ele_kWh/1000),0,TER_gezond_ele_kWh/1000)</f>
        <v>136.32910000000001</v>
      </c>
      <c r="C29" s="39">
        <f>IF(ISERROR(B29*3.6/1000000/'E Balans VL '!Z10*100),0,B29*3.6/1000000/'E Balans VL '!Z10*100)</f>
        <v>1.5360769862900968E-2</v>
      </c>
      <c r="D29" s="237" t="s">
        <v>691</v>
      </c>
      <c r="F29" s="6"/>
    </row>
    <row r="30" spans="1:18">
      <c r="A30" s="231" t="s">
        <v>49</v>
      </c>
      <c r="B30" s="33">
        <f>IF(ISERROR(TER_ander_ele_kWh/1000),0,TER_ander_ele_kWh/1000)</f>
        <v>1199.9079999999999</v>
      </c>
      <c r="C30" s="39">
        <f>IF(ISERROR(B30*3.6/1000000/'E Balans VL '!Z14*100),0,B30*3.6/1000000/'E Balans VL '!Z14*100)</f>
        <v>9.0746990889924578E-2</v>
      </c>
      <c r="D30" s="237" t="s">
        <v>691</v>
      </c>
      <c r="F30" s="6"/>
    </row>
    <row r="31" spans="1:18">
      <c r="A31" s="231" t="s">
        <v>54</v>
      </c>
      <c r="B31" s="33">
        <f>IF(ISERROR(TER_onderwijs_ele_kWh/1000),0,TER_onderwijs_ele_kWh/1000)</f>
        <v>131.93539999999999</v>
      </c>
      <c r="C31" s="39">
        <f>IF(ISERROR(B31*3.6/1000000/'E Balans VL '!Z11*100),0,B31*3.6/1000000/'E Balans VL '!Z11*100)</f>
        <v>2.7386726291174106E-2</v>
      </c>
      <c r="D31" s="237" t="s">
        <v>691</v>
      </c>
    </row>
    <row r="32" spans="1:18">
      <c r="A32" s="231" t="s">
        <v>259</v>
      </c>
      <c r="B32" s="33">
        <f>IF(ISERROR(TER_rest_ele_kWh/1000),0,TER_rest_ele_kWh/1000)</f>
        <v>2438.0459999999998</v>
      </c>
      <c r="C32" s="39">
        <f>IF(ISERROR(B32*3.6/1000000/'E Balans VL '!Z8*100),0,B32*3.6/1000000/'E Balans VL '!Z8*100)</f>
        <v>2.0539103296108693E-2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9343.926809999999</v>
      </c>
      <c r="C5" s="17">
        <f>IF(ISERROR('Eigen informatie GS &amp; warmtenet'!B59),0,'Eigen informatie GS &amp; warmtenet'!B59)</f>
        <v>0</v>
      </c>
      <c r="D5" s="30">
        <f>SUM(D6:D15)</f>
        <v>3545.5459455468354</v>
      </c>
      <c r="E5" s="17">
        <f>SUM(E6:E15)</f>
        <v>759.91429773554546</v>
      </c>
      <c r="F5" s="17">
        <f>SUM(F6:F15)</f>
        <v>2935.3032305880461</v>
      </c>
      <c r="G5" s="18"/>
      <c r="H5" s="17"/>
      <c r="I5" s="17"/>
      <c r="J5" s="17">
        <f>SUM(J6:J15)</f>
        <v>32.677848028949079</v>
      </c>
      <c r="K5" s="17"/>
      <c r="L5" s="17"/>
      <c r="M5" s="17"/>
      <c r="N5" s="17">
        <f>SUM(N6:N15)</f>
        <v>554.95756582845036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88.099260000000001</v>
      </c>
      <c r="C8" s="33"/>
      <c r="D8" s="37">
        <f>IF( ISERROR(IND_metaal_Gas_kWH/1000),0,IND_metaal_Gas_kWH/1000)*0.902</f>
        <v>0</v>
      </c>
      <c r="E8" s="33">
        <f>C30*'E Balans VL '!I18/100/3.6*1000000</f>
        <v>2.2048161369957708</v>
      </c>
      <c r="F8" s="33">
        <f>C30*'E Balans VL '!L18/100/3.6*1000000+C30*'E Balans VL '!N18/100/3.6*1000000</f>
        <v>27.610746312256428</v>
      </c>
      <c r="G8" s="34"/>
      <c r="H8" s="33"/>
      <c r="I8" s="33"/>
      <c r="J8" s="40">
        <f>C30*'E Balans VL '!D18/100/3.6*1000000+C30*'E Balans VL '!E18/100/3.6*1000000</f>
        <v>0</v>
      </c>
      <c r="K8" s="33"/>
      <c r="L8" s="33"/>
      <c r="M8" s="33"/>
      <c r="N8" s="33">
        <f>C30*'E Balans VL '!Y18/100/3.6*1000000</f>
        <v>2.2132820487170455</v>
      </c>
      <c r="O8" s="33"/>
      <c r="P8" s="33"/>
      <c r="R8" s="32"/>
    </row>
    <row r="9" spans="1:18">
      <c r="A9" s="6" t="s">
        <v>32</v>
      </c>
      <c r="B9" s="37">
        <f t="shared" si="0"/>
        <v>1371.636</v>
      </c>
      <c r="C9" s="33"/>
      <c r="D9" s="37">
        <f>IF( ISERROR(IND_andere_gas_kWh/1000),0,IND_andere_gas_kWh/1000)*0.902</f>
        <v>1509.7721279708799</v>
      </c>
      <c r="E9" s="33">
        <f>C31*'E Balans VL '!I19/100/3.6*1000000</f>
        <v>377.1436422732051</v>
      </c>
      <c r="F9" s="33">
        <f>C31*'E Balans VL '!L19/100/3.6*1000000+C31*'E Balans VL '!N19/100/3.6*1000000</f>
        <v>1081.0878498008663</v>
      </c>
      <c r="G9" s="34"/>
      <c r="H9" s="33"/>
      <c r="I9" s="33"/>
      <c r="J9" s="40">
        <f>C31*'E Balans VL '!D19/100/3.6*1000000+C31*'E Balans VL '!E19/100/3.6*1000000</f>
        <v>0</v>
      </c>
      <c r="K9" s="33"/>
      <c r="L9" s="33"/>
      <c r="M9" s="33"/>
      <c r="N9" s="33">
        <f>C31*'E Balans VL '!Y19/100/3.6*1000000</f>
        <v>110.4998605039325</v>
      </c>
      <c r="O9" s="33"/>
      <c r="P9" s="33"/>
      <c r="R9" s="32"/>
    </row>
    <row r="10" spans="1:18">
      <c r="A10" s="6" t="s">
        <v>40</v>
      </c>
      <c r="B10" s="37">
        <f t="shared" si="0"/>
        <v>59.529800000000002</v>
      </c>
      <c r="C10" s="33"/>
      <c r="D10" s="37">
        <f>IF( ISERROR(IND_voed_gas_kWh/1000),0,IND_voed_gas_kWh/1000)*0.902</f>
        <v>0</v>
      </c>
      <c r="E10" s="33">
        <f>C32*'E Balans VL '!I20/100/3.6*1000000</f>
        <v>0.60687351584604998</v>
      </c>
      <c r="F10" s="33">
        <f>C32*'E Balans VL '!L20/100/3.6*1000000+C32*'E Balans VL '!N20/100/3.6*1000000</f>
        <v>112.4514198770417</v>
      </c>
      <c r="G10" s="34"/>
      <c r="H10" s="33"/>
      <c r="I10" s="33"/>
      <c r="J10" s="40">
        <f>C32*'E Balans VL '!D20/100/3.6*1000000+C32*'E Balans VL '!E20/100/3.6*1000000</f>
        <v>1.4247428963874575</v>
      </c>
      <c r="K10" s="33"/>
      <c r="L10" s="33"/>
      <c r="M10" s="33"/>
      <c r="N10" s="33">
        <f>C32*'E Balans VL '!Y20/100/3.6*1000000</f>
        <v>31.379061592131176</v>
      </c>
      <c r="O10" s="33"/>
      <c r="P10" s="33"/>
      <c r="R10" s="32"/>
    </row>
    <row r="11" spans="1:18">
      <c r="A11" s="6" t="s">
        <v>39</v>
      </c>
      <c r="B11" s="37">
        <f t="shared" si="0"/>
        <v>350.07759999999996</v>
      </c>
      <c r="C11" s="33"/>
      <c r="D11" s="37">
        <f>IF( ISERROR(IND_textiel_gas_kWh/1000),0,IND_textiel_gas_kWh/1000)*0.902</f>
        <v>436.80736476833869</v>
      </c>
      <c r="E11" s="33">
        <f>C33*'E Balans VL '!I21/100/3.6*1000000</f>
        <v>0.9278769040891317</v>
      </c>
      <c r="F11" s="33">
        <f>C33*'E Balans VL '!L21/100/3.6*1000000+C33*'E Balans VL '!N21/100/3.6*1000000</f>
        <v>15.634826747934996</v>
      </c>
      <c r="G11" s="34"/>
      <c r="H11" s="33"/>
      <c r="I11" s="33"/>
      <c r="J11" s="40">
        <f>C33*'E Balans VL '!D21/100/3.6*1000000+C33*'E Balans VL '!E21/100/3.6*1000000</f>
        <v>0</v>
      </c>
      <c r="K11" s="33"/>
      <c r="L11" s="33"/>
      <c r="M11" s="33"/>
      <c r="N11" s="33">
        <f>C33*'E Balans VL '!Y21/100/3.6*1000000</f>
        <v>3.2992311297895198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25.08615</v>
      </c>
      <c r="C13" s="33"/>
      <c r="D13" s="37">
        <f>IF( ISERROR(IND_papier_gas_kWh/1000),0,IND_papier_gas_kWh/1000)*0.902</f>
        <v>52.128388421774389</v>
      </c>
      <c r="E13" s="33">
        <f>C35*'E Balans VL '!I23/100/3.6*1000000</f>
        <v>5.1955109924351664E-2</v>
      </c>
      <c r="F13" s="33">
        <f>C35*'E Balans VL '!L23/100/3.6*1000000+C35*'E Balans VL '!N23/100/3.6*1000000</f>
        <v>0.49751213493108942</v>
      </c>
      <c r="G13" s="34"/>
      <c r="H13" s="33"/>
      <c r="I13" s="33"/>
      <c r="J13" s="40">
        <f>C35*'E Balans VL '!D23/100/3.6*1000000+C35*'E Balans VL '!E23/100/3.6*1000000</f>
        <v>0</v>
      </c>
      <c r="K13" s="33"/>
      <c r="L13" s="33"/>
      <c r="M13" s="33"/>
      <c r="N13" s="33">
        <f>C35*'E Balans VL '!Y23/100/3.6*1000000</f>
        <v>1.7398513016209758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7449.4979999999996</v>
      </c>
      <c r="C15" s="33"/>
      <c r="D15" s="37">
        <f>IF( ISERROR(IND_rest_gas_kWh/1000),0,IND_rest_gas_kWh/1000)*0.902</f>
        <v>1546.8380643858427</v>
      </c>
      <c r="E15" s="33">
        <f>C37*'E Balans VL '!I15/100/3.6*1000000</f>
        <v>378.97913379548504</v>
      </c>
      <c r="F15" s="33">
        <f>C37*'E Balans VL '!L15/100/3.6*1000000+C37*'E Balans VL '!N15/100/3.6*1000000</f>
        <v>1698.0208757150158</v>
      </c>
      <c r="G15" s="34"/>
      <c r="H15" s="33"/>
      <c r="I15" s="33"/>
      <c r="J15" s="40">
        <f>C37*'E Balans VL '!D15/100/3.6*1000000+C37*'E Balans VL '!E15/100/3.6*1000000</f>
        <v>31.253105132561622</v>
      </c>
      <c r="K15" s="33"/>
      <c r="L15" s="33"/>
      <c r="M15" s="33"/>
      <c r="N15" s="33">
        <f>C37*'E Balans VL '!Y15/100/3.6*1000000</f>
        <v>405.82627925225916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9343.926809999999</v>
      </c>
      <c r="C18" s="21">
        <f>C5+C16</f>
        <v>0</v>
      </c>
      <c r="D18" s="21">
        <f>MAX((D5+D16),0)</f>
        <v>3545.5459455468354</v>
      </c>
      <c r="E18" s="21">
        <f>MAX((E5+E16),0)</f>
        <v>759.91429773554546</v>
      </c>
      <c r="F18" s="21">
        <f>MAX((F5+F16),0)</f>
        <v>2935.3032305880461</v>
      </c>
      <c r="G18" s="21"/>
      <c r="H18" s="21"/>
      <c r="I18" s="21"/>
      <c r="J18" s="21">
        <f>MAX((J5+J16),0)</f>
        <v>32.677848028949079</v>
      </c>
      <c r="K18" s="21"/>
      <c r="L18" s="21">
        <f>MAX((L5+L16),0)</f>
        <v>0</v>
      </c>
      <c r="M18" s="21"/>
      <c r="N18" s="21">
        <f>MAX((N5+N16),0)</f>
        <v>554.95756582845036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0.20669078260306126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1931.3035449446254</v>
      </c>
      <c r="C22" s="23">
        <f ca="1">C18*C20</f>
        <v>0</v>
      </c>
      <c r="D22" s="23">
        <f>D18*D20</f>
        <v>716.20028100046079</v>
      </c>
      <c r="E22" s="23">
        <f>E18*E20</f>
        <v>172.50054558596884</v>
      </c>
      <c r="F22" s="23">
        <f>F18*F20</f>
        <v>783.72596256700831</v>
      </c>
      <c r="G22" s="23"/>
      <c r="H22" s="23"/>
      <c r="I22" s="23"/>
      <c r="J22" s="23">
        <f>J18*J20</f>
        <v>11.567958202247974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88.099260000000001</v>
      </c>
      <c r="C30" s="39">
        <f>IF(ISERROR(B30*3.6/1000000/'E Balans VL '!Z18*100),0,B30*3.6/1000000/'E Balans VL '!Z18*100)</f>
        <v>1.2330960459726271E-2</v>
      </c>
      <c r="D30" s="237" t="s">
        <v>691</v>
      </c>
    </row>
    <row r="31" spans="1:18">
      <c r="A31" s="6" t="s">
        <v>32</v>
      </c>
      <c r="B31" s="37">
        <f>IF( ISERROR(IND_ander_ele_kWh/1000),0,IND_ander_ele_kWh/1000)</f>
        <v>1371.636</v>
      </c>
      <c r="C31" s="39">
        <f>IF(ISERROR(B31*3.6/1000000/'E Balans VL '!Z19*100),0,B31*3.6/1000000/'E Balans VL '!Z19*100)</f>
        <v>6.0036285209027707E-2</v>
      </c>
      <c r="D31" s="237" t="s">
        <v>691</v>
      </c>
    </row>
    <row r="32" spans="1:18">
      <c r="A32" s="171" t="s">
        <v>40</v>
      </c>
      <c r="B32" s="37">
        <f>IF( ISERROR(IND_voed_ele_kWh/1000),0,IND_voed_ele_kWh/1000)</f>
        <v>59.529800000000002</v>
      </c>
      <c r="C32" s="39">
        <f>IF(ISERROR(B32*3.6/1000000/'E Balans VL '!Z20*100),0,B32*3.6/1000000/'E Balans VL '!Z20*100)</f>
        <v>1.4737601592852909E-2</v>
      </c>
      <c r="D32" s="237" t="s">
        <v>691</v>
      </c>
    </row>
    <row r="33" spans="1:5">
      <c r="A33" s="171" t="s">
        <v>39</v>
      </c>
      <c r="B33" s="37">
        <f>IF( ISERROR(IND_textiel_ele_kWh/1000),0,IND_textiel_ele_kWh/1000)</f>
        <v>350.07759999999996</v>
      </c>
      <c r="C33" s="39">
        <f>IF(ISERROR(B33*3.6/1000000/'E Balans VL '!Z21*100),0,B33*3.6/1000000/'E Balans VL '!Z21*100)</f>
        <v>3.94475788462623E-2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25.08615</v>
      </c>
      <c r="C35" s="39">
        <f>IF(ISERROR(B35*3.6/1000000/'E Balans VL '!Z22*100),0,B35*3.6/1000000/'E Balans VL '!Z22*100)</f>
        <v>7.1184259100852962E-4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7449.4979999999996</v>
      </c>
      <c r="C37" s="39">
        <f>IF(ISERROR(B37*3.6/1000000/'E Balans VL '!Z15*100),0,B37*3.6/1000000/'E Balans VL '!Z15*100)</f>
        <v>5.5236752261971674E-2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657.08480000000009</v>
      </c>
      <c r="C5" s="17">
        <f>'Eigen informatie GS &amp; warmtenet'!B60</f>
        <v>0</v>
      </c>
      <c r="D5" s="30">
        <f>IF(ISERROR(SUM(LB_lb_gas_kWh,LB_rest_gas_kWh)/1000),0,SUM(LB_lb_gas_kWh,LB_rest_gas_kWh)/1000)*0.902</f>
        <v>85.07338140597615</v>
      </c>
      <c r="E5" s="17">
        <f>B17*'E Balans VL '!I25/3.6*1000000/100</f>
        <v>6.0861946300122955</v>
      </c>
      <c r="F5" s="17">
        <f>B17*('E Balans VL '!L25/3.6*1000000+'E Balans VL '!N25/3.6*1000000)/100</f>
        <v>1667.1493121259437</v>
      </c>
      <c r="G5" s="18"/>
      <c r="H5" s="17"/>
      <c r="I5" s="17"/>
      <c r="J5" s="17">
        <f>('E Balans VL '!D25+'E Balans VL '!E25)/3.6*1000000*landbouw!B17/100</f>
        <v>100.73843292777033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657.08480000000009</v>
      </c>
      <c r="C8" s="21">
        <f>C5+C6</f>
        <v>0</v>
      </c>
      <c r="D8" s="21">
        <f>MAX((D5+D6),0)</f>
        <v>85.07338140597615</v>
      </c>
      <c r="E8" s="21">
        <f>MAX((E5+E6),0)</f>
        <v>6.0861946300122955</v>
      </c>
      <c r="F8" s="21">
        <f>MAX((F5+F6),0)</f>
        <v>1667.1493121259437</v>
      </c>
      <c r="G8" s="21"/>
      <c r="H8" s="21"/>
      <c r="I8" s="21"/>
      <c r="J8" s="21">
        <f>MAX((J5+J6),0)</f>
        <v>100.73843292777033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0.20669078260306126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135.81337154857601</v>
      </c>
      <c r="C12" s="23">
        <f ca="1">C8*C10</f>
        <v>0</v>
      </c>
      <c r="D12" s="23">
        <f>D8*D10</f>
        <v>17.184823044007182</v>
      </c>
      <c r="E12" s="23">
        <f>E8*E10</f>
        <v>1.3815661810127911</v>
      </c>
      <c r="F12" s="23">
        <f>F8*F10</f>
        <v>445.12886633762696</v>
      </c>
      <c r="G12" s="23"/>
      <c r="H12" s="23"/>
      <c r="I12" s="23"/>
      <c r="J12" s="23">
        <f>J8*J10</f>
        <v>35.661405256430697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9.3423525954002024E-2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143.76928425516988</v>
      </c>
      <c r="C26" s="247">
        <f>B26*'GWP N2O_CH4'!B5</f>
        <v>3019.1549693585675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17.527296223457149</v>
      </c>
      <c r="C27" s="247">
        <f>B27*'GWP N2O_CH4'!B5</f>
        <v>368.07322069260016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1.9413213864922054</v>
      </c>
      <c r="C28" s="247">
        <f>B28*'GWP N2O_CH4'!B4</f>
        <v>601.80962981258369</v>
      </c>
      <c r="D28" s="50"/>
    </row>
    <row r="29" spans="1:4">
      <c r="A29" s="41" t="s">
        <v>276</v>
      </c>
      <c r="B29" s="247">
        <f>B34*'ha_N2O bodem landbouw'!B4</f>
        <v>9.2213634965920033</v>
      </c>
      <c r="C29" s="247">
        <f>B29*'GWP N2O_CH4'!B4</f>
        <v>2858.6226839435212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2.0681893766628656E-3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3.6723295608677145E-5</v>
      </c>
      <c r="C5" s="438" t="s">
        <v>210</v>
      </c>
      <c r="D5" s="423">
        <f>SUM(D6:D11)</f>
        <v>8.0086803179391531E-5</v>
      </c>
      <c r="E5" s="423">
        <f>SUM(E6:E11)</f>
        <v>7.5569008060677619E-4</v>
      </c>
      <c r="F5" s="436" t="s">
        <v>210</v>
      </c>
      <c r="G5" s="423">
        <f>SUM(G6:G11)</f>
        <v>0.27881506244912935</v>
      </c>
      <c r="H5" s="423">
        <f>SUM(H6:H11)</f>
        <v>4.8235016807408743E-2</v>
      </c>
      <c r="I5" s="438" t="s">
        <v>210</v>
      </c>
      <c r="J5" s="438" t="s">
        <v>210</v>
      </c>
      <c r="K5" s="438" t="s">
        <v>210</v>
      </c>
      <c r="L5" s="438" t="s">
        <v>210</v>
      </c>
      <c r="M5" s="423">
        <f>SUM(M6:M11)</f>
        <v>1.7636209245149376E-2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2.3847705784698948E-5</v>
      </c>
      <c r="C6" s="424"/>
      <c r="D6" s="866">
        <f>vkm_GW_PW*SUMIFS(TableVerdeelsleutelVkm[CNG],TableVerdeelsleutelVkm[Voertuigtype],"Lichte voertuigen")*SUMIFS(TableECFTransport[EnergieConsumptieFactor (PJ per km)],TableECFTransport[Index],CONCATENATE($A6,"_CNG_CNG"))</f>
        <v>4.161387665304336E-5</v>
      </c>
      <c r="E6" s="866">
        <f>vkm_GW_PW*SUMIFS(TableVerdeelsleutelVkm[LPG],TableVerdeelsleutelVkm[Voertuigtype],"Lichte voertuigen")*SUMIFS(TableECFTransport[EnergieConsumptieFactor (PJ per km)],TableECFTransport[Index],CONCATENATE($A6,"_LPG_LPG"))</f>
        <v>4.0305085161097506E-4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9.4723885397587429E-2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2.5484098254395359E-2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6.2691592225905483E-3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8.542317821351196E-2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1.6566269522176181E-6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4.9526427516444222E-3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1.2875589823978199E-5</v>
      </c>
      <c r="C8" s="424"/>
      <c r="D8" s="426">
        <f>vkm_NGW_PW*SUMIFS(TableVerdeelsleutelVkm[CNG],TableVerdeelsleutelVkm[Voertuigtype],"Lichte voertuigen")*SUMIFS(TableECFTransport[EnergieConsumptieFactor (PJ per km)],TableECFTransport[Index],CONCATENATE($A8,"_CNG_CNG"))</f>
        <v>3.8472926526348178E-5</v>
      </c>
      <c r="E8" s="426">
        <f>vkm_NGW_PW*SUMIFS(TableVerdeelsleutelVkm[LPG],TableVerdeelsleutelVkm[Voertuigtype],"Lichte voertuigen")*SUMIFS(TableECFTransport[EnergieConsumptieFactor (PJ per km)],TableECFTransport[Index],CONCATENATE($A8,"_LPG_LPG"))</f>
        <v>3.5263922899580113E-4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7.7792850010773879E-2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2.2748760467702585E-2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5.2041103883036458E-3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2.0875148827256072E-2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5.0145835857812849E-7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1.2102968826107597E-3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10.200915446854763</v>
      </c>
      <c r="C14" s="21"/>
      <c r="D14" s="21">
        <f t="shared" ref="D14:M14" si="0">((D5)*10^9/3600)+D12</f>
        <v>22.246334216497647</v>
      </c>
      <c r="E14" s="21">
        <f t="shared" si="0"/>
        <v>209.91391127966006</v>
      </c>
      <c r="F14" s="21"/>
      <c r="G14" s="21">
        <f t="shared" si="0"/>
        <v>77448.62845809148</v>
      </c>
      <c r="H14" s="21">
        <f t="shared" si="0"/>
        <v>13398.615779835762</v>
      </c>
      <c r="I14" s="21"/>
      <c r="J14" s="21"/>
      <c r="K14" s="21"/>
      <c r="L14" s="21"/>
      <c r="M14" s="21">
        <f t="shared" si="0"/>
        <v>4898.9470125414937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0.20669078260306126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2.1084351969780672</v>
      </c>
      <c r="C18" s="23"/>
      <c r="D18" s="23">
        <f t="shared" ref="D18:M18" si="1">D14*D16</f>
        <v>4.4937595117325246</v>
      </c>
      <c r="E18" s="23">
        <f t="shared" si="1"/>
        <v>47.650457860482831</v>
      </c>
      <c r="F18" s="23"/>
      <c r="G18" s="23">
        <f t="shared" si="1"/>
        <v>20678.783798310425</v>
      </c>
      <c r="H18" s="23">
        <f t="shared" si="1"/>
        <v>3336.2553291791046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2.6455497601923822E-3</v>
      </c>
      <c r="H50" s="319">
        <f t="shared" si="2"/>
        <v>0</v>
      </c>
      <c r="I50" s="319">
        <f t="shared" si="2"/>
        <v>0</v>
      </c>
      <c r="J50" s="319">
        <f t="shared" si="2"/>
        <v>0</v>
      </c>
      <c r="K50" s="319">
        <f t="shared" si="2"/>
        <v>0</v>
      </c>
      <c r="L50" s="319">
        <f t="shared" si="2"/>
        <v>0</v>
      </c>
      <c r="M50" s="319">
        <f t="shared" si="2"/>
        <v>1.5121157201191984E-4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2.6455497601923822E-3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1.5121157201191984E-4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734.8749333867728</v>
      </c>
      <c r="H54" s="21">
        <f t="shared" si="3"/>
        <v>0</v>
      </c>
      <c r="I54" s="21">
        <f t="shared" si="3"/>
        <v>0</v>
      </c>
      <c r="J54" s="21">
        <f t="shared" si="3"/>
        <v>0</v>
      </c>
      <c r="K54" s="21">
        <f t="shared" si="3"/>
        <v>0</v>
      </c>
      <c r="L54" s="21">
        <f t="shared" si="3"/>
        <v>0</v>
      </c>
      <c r="M54" s="21">
        <f t="shared" si="3"/>
        <v>42.003214447755511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0.20669078260306126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196.21160721426835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11380.191500000001</v>
      </c>
      <c r="D10" s="991">
        <f ca="1">tertiair!C16</f>
        <v>0</v>
      </c>
      <c r="E10" s="991">
        <f ca="1">tertiair!D16</f>
        <v>9850.3748187719484</v>
      </c>
      <c r="F10" s="991">
        <f>tertiair!E16</f>
        <v>116.78118481191851</v>
      </c>
      <c r="G10" s="991">
        <f ca="1">tertiair!F16</f>
        <v>1570.0618426479405</v>
      </c>
      <c r="H10" s="991">
        <f>tertiair!G16</f>
        <v>0</v>
      </c>
      <c r="I10" s="991">
        <f>tertiair!H16</f>
        <v>0</v>
      </c>
      <c r="J10" s="991">
        <f>tertiair!I16</f>
        <v>0</v>
      </c>
      <c r="K10" s="991">
        <f>tertiair!J16</f>
        <v>0</v>
      </c>
      <c r="L10" s="991">
        <f>tertiair!K16</f>
        <v>0</v>
      </c>
      <c r="M10" s="991">
        <f ca="1">tertiair!L16</f>
        <v>0</v>
      </c>
      <c r="N10" s="991">
        <f>tertiair!M16</f>
        <v>0</v>
      </c>
      <c r="O10" s="991">
        <f ca="1">tertiair!N16</f>
        <v>1100.2190721302582</v>
      </c>
      <c r="P10" s="991">
        <f>tertiair!O16</f>
        <v>3.1266666666666669</v>
      </c>
      <c r="Q10" s="992">
        <f>tertiair!P16</f>
        <v>0</v>
      </c>
      <c r="R10" s="675">
        <f ca="1">SUM(C10:Q10)</f>
        <v>24020.755085028733</v>
      </c>
      <c r="S10" s="67"/>
    </row>
    <row r="11" spans="1:19" s="448" customFormat="1">
      <c r="A11" s="784" t="s">
        <v>224</v>
      </c>
      <c r="B11" s="789"/>
      <c r="C11" s="991">
        <f>huishoudens!B8</f>
        <v>35650.165501881558</v>
      </c>
      <c r="D11" s="991">
        <f>huishoudens!C8</f>
        <v>0</v>
      </c>
      <c r="E11" s="991">
        <f>huishoudens!D8</f>
        <v>49265.612536110726</v>
      </c>
      <c r="F11" s="991">
        <f>huishoudens!E8</f>
        <v>34988.360292528065</v>
      </c>
      <c r="G11" s="991">
        <f>huishoudens!F8</f>
        <v>41717.398834506232</v>
      </c>
      <c r="H11" s="991">
        <f>huishoudens!G8</f>
        <v>0</v>
      </c>
      <c r="I11" s="991">
        <f>huishoudens!H8</f>
        <v>0</v>
      </c>
      <c r="J11" s="991">
        <f>huishoudens!I8</f>
        <v>0</v>
      </c>
      <c r="K11" s="991">
        <f>huishoudens!J8</f>
        <v>4923.9063171759044</v>
      </c>
      <c r="L11" s="991">
        <f>huishoudens!K8</f>
        <v>0</v>
      </c>
      <c r="M11" s="991">
        <f>huishoudens!L8</f>
        <v>0</v>
      </c>
      <c r="N11" s="991">
        <f>huishoudens!M8</f>
        <v>0</v>
      </c>
      <c r="O11" s="991">
        <f>huishoudens!N8</f>
        <v>10475.336582362066</v>
      </c>
      <c r="P11" s="991">
        <f>huishoudens!O8</f>
        <v>218.86666666666667</v>
      </c>
      <c r="Q11" s="992">
        <f>huishoudens!P8</f>
        <v>838.93333333333339</v>
      </c>
      <c r="R11" s="675">
        <f>SUM(C11:Q11)</f>
        <v>178078.58006456454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9343.926809999999</v>
      </c>
      <c r="D13" s="991">
        <f>industrie!C18</f>
        <v>0</v>
      </c>
      <c r="E13" s="991">
        <f>industrie!D18</f>
        <v>3545.5459455468354</v>
      </c>
      <c r="F13" s="991">
        <f>industrie!E18</f>
        <v>759.91429773554546</v>
      </c>
      <c r="G13" s="991">
        <f>industrie!F18</f>
        <v>2935.3032305880461</v>
      </c>
      <c r="H13" s="991">
        <f>industrie!G18</f>
        <v>0</v>
      </c>
      <c r="I13" s="991">
        <f>industrie!H18</f>
        <v>0</v>
      </c>
      <c r="J13" s="991">
        <f>industrie!I18</f>
        <v>0</v>
      </c>
      <c r="K13" s="991">
        <f>industrie!J18</f>
        <v>32.677848028949079</v>
      </c>
      <c r="L13" s="991">
        <f>industrie!K18</f>
        <v>0</v>
      </c>
      <c r="M13" s="991">
        <f>industrie!L18</f>
        <v>0</v>
      </c>
      <c r="N13" s="991">
        <f>industrie!M18</f>
        <v>0</v>
      </c>
      <c r="O13" s="991">
        <f>industrie!N18</f>
        <v>554.95756582845036</v>
      </c>
      <c r="P13" s="991">
        <f>industrie!O18</f>
        <v>0</v>
      </c>
      <c r="Q13" s="992">
        <f>industrie!P18</f>
        <v>0</v>
      </c>
      <c r="R13" s="675">
        <f>SUM(C13:Q13)</f>
        <v>17172.325697727829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56374.283811881556</v>
      </c>
      <c r="D16" s="707">
        <f t="shared" ref="D16:R16" ca="1" si="0">SUM(D9:D15)</f>
        <v>0</v>
      </c>
      <c r="E16" s="707">
        <f t="shared" ca="1" si="0"/>
        <v>62661.53330042951</v>
      </c>
      <c r="F16" s="707">
        <f t="shared" si="0"/>
        <v>35865.055775075525</v>
      </c>
      <c r="G16" s="707">
        <f t="shared" ca="1" si="0"/>
        <v>46222.763907742221</v>
      </c>
      <c r="H16" s="707">
        <f t="shared" si="0"/>
        <v>0</v>
      </c>
      <c r="I16" s="707">
        <f t="shared" si="0"/>
        <v>0</v>
      </c>
      <c r="J16" s="707">
        <f t="shared" si="0"/>
        <v>0</v>
      </c>
      <c r="K16" s="707">
        <f t="shared" si="0"/>
        <v>4956.5841652048539</v>
      </c>
      <c r="L16" s="707">
        <f t="shared" si="0"/>
        <v>0</v>
      </c>
      <c r="M16" s="707">
        <f t="shared" ca="1" si="0"/>
        <v>0</v>
      </c>
      <c r="N16" s="707">
        <f t="shared" si="0"/>
        <v>0</v>
      </c>
      <c r="O16" s="707">
        <f t="shared" ca="1" si="0"/>
        <v>12130.513220320774</v>
      </c>
      <c r="P16" s="707">
        <f t="shared" si="0"/>
        <v>221.99333333333334</v>
      </c>
      <c r="Q16" s="707">
        <f t="shared" si="0"/>
        <v>838.93333333333339</v>
      </c>
      <c r="R16" s="707">
        <f t="shared" ca="1" si="0"/>
        <v>219271.66084732109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734.8749333867728</v>
      </c>
      <c r="I19" s="991">
        <f>transport!H54</f>
        <v>0</v>
      </c>
      <c r="J19" s="991">
        <f>transport!I54</f>
        <v>0</v>
      </c>
      <c r="K19" s="991">
        <f>transport!J54</f>
        <v>0</v>
      </c>
      <c r="L19" s="991">
        <f>transport!K54</f>
        <v>0</v>
      </c>
      <c r="M19" s="991">
        <f>transport!L54</f>
        <v>0</v>
      </c>
      <c r="N19" s="991">
        <f>transport!M54</f>
        <v>42.003214447755511</v>
      </c>
      <c r="O19" s="991">
        <f>transport!N54</f>
        <v>0</v>
      </c>
      <c r="P19" s="991">
        <f>transport!O54</f>
        <v>0</v>
      </c>
      <c r="Q19" s="992">
        <f>transport!P54</f>
        <v>0</v>
      </c>
      <c r="R19" s="675">
        <f>SUM(C19:Q19)</f>
        <v>776.87814783452836</v>
      </c>
      <c r="S19" s="67"/>
    </row>
    <row r="20" spans="1:19" s="448" customFormat="1">
      <c r="A20" s="784" t="s">
        <v>306</v>
      </c>
      <c r="B20" s="789"/>
      <c r="C20" s="991">
        <f>transport!B14</f>
        <v>10.200915446854763</v>
      </c>
      <c r="D20" s="991">
        <f>transport!C14</f>
        <v>0</v>
      </c>
      <c r="E20" s="991">
        <f>transport!D14</f>
        <v>22.246334216497647</v>
      </c>
      <c r="F20" s="991">
        <f>transport!E14</f>
        <v>209.91391127966006</v>
      </c>
      <c r="G20" s="991">
        <f>transport!F14</f>
        <v>0</v>
      </c>
      <c r="H20" s="991">
        <f>transport!G14</f>
        <v>77448.62845809148</v>
      </c>
      <c r="I20" s="991">
        <f>transport!H14</f>
        <v>13398.615779835762</v>
      </c>
      <c r="J20" s="991">
        <f>transport!I14</f>
        <v>0</v>
      </c>
      <c r="K20" s="991">
        <f>transport!J14</f>
        <v>0</v>
      </c>
      <c r="L20" s="991">
        <f>transport!K14</f>
        <v>0</v>
      </c>
      <c r="M20" s="991">
        <f>transport!L14</f>
        <v>0</v>
      </c>
      <c r="N20" s="991">
        <f>transport!M14</f>
        <v>4898.9470125414937</v>
      </c>
      <c r="O20" s="991">
        <f>transport!N14</f>
        <v>0</v>
      </c>
      <c r="P20" s="991">
        <f>transport!O14</f>
        <v>0</v>
      </c>
      <c r="Q20" s="992">
        <f>transport!P14</f>
        <v>0</v>
      </c>
      <c r="R20" s="675">
        <f>SUM(C20:Q20)</f>
        <v>95988.552411411743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10.200915446854763</v>
      </c>
      <c r="D22" s="787">
        <f t="shared" ref="D22:R22" si="1">SUM(D18:D21)</f>
        <v>0</v>
      </c>
      <c r="E22" s="787">
        <f t="shared" si="1"/>
        <v>22.246334216497647</v>
      </c>
      <c r="F22" s="787">
        <f t="shared" si="1"/>
        <v>209.91391127966006</v>
      </c>
      <c r="G22" s="787">
        <f t="shared" si="1"/>
        <v>0</v>
      </c>
      <c r="H22" s="787">
        <f t="shared" si="1"/>
        <v>78183.503391478254</v>
      </c>
      <c r="I22" s="787">
        <f t="shared" si="1"/>
        <v>13398.615779835762</v>
      </c>
      <c r="J22" s="787">
        <f t="shared" si="1"/>
        <v>0</v>
      </c>
      <c r="K22" s="787">
        <f t="shared" si="1"/>
        <v>0</v>
      </c>
      <c r="L22" s="787">
        <f t="shared" si="1"/>
        <v>0</v>
      </c>
      <c r="M22" s="787">
        <f t="shared" si="1"/>
        <v>0</v>
      </c>
      <c r="N22" s="787">
        <f t="shared" si="1"/>
        <v>4940.9502269892491</v>
      </c>
      <c r="O22" s="787">
        <f t="shared" si="1"/>
        <v>0</v>
      </c>
      <c r="P22" s="787">
        <f t="shared" si="1"/>
        <v>0</v>
      </c>
      <c r="Q22" s="787">
        <f t="shared" si="1"/>
        <v>0</v>
      </c>
      <c r="R22" s="787">
        <f t="shared" si="1"/>
        <v>96765.430559246277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657.08480000000009</v>
      </c>
      <c r="D24" s="991">
        <f>+landbouw!C8</f>
        <v>0</v>
      </c>
      <c r="E24" s="991">
        <f>+landbouw!D8</f>
        <v>85.07338140597615</v>
      </c>
      <c r="F24" s="991">
        <f>+landbouw!E8</f>
        <v>6.0861946300122955</v>
      </c>
      <c r="G24" s="991">
        <f>+landbouw!F8</f>
        <v>1667.1493121259437</v>
      </c>
      <c r="H24" s="991">
        <f>+landbouw!G8</f>
        <v>0</v>
      </c>
      <c r="I24" s="991">
        <f>+landbouw!H8</f>
        <v>0</v>
      </c>
      <c r="J24" s="991">
        <f>+landbouw!I8</f>
        <v>0</v>
      </c>
      <c r="K24" s="991">
        <f>+landbouw!J8</f>
        <v>100.73843292777033</v>
      </c>
      <c r="L24" s="991">
        <f>+landbouw!K8</f>
        <v>0</v>
      </c>
      <c r="M24" s="991">
        <f>+landbouw!L8</f>
        <v>0</v>
      </c>
      <c r="N24" s="991">
        <f>+landbouw!M8</f>
        <v>0</v>
      </c>
      <c r="O24" s="991">
        <f>+landbouw!N8</f>
        <v>0</v>
      </c>
      <c r="P24" s="991">
        <f>+landbouw!O8</f>
        <v>0</v>
      </c>
      <c r="Q24" s="992">
        <f>+landbouw!P8</f>
        <v>0</v>
      </c>
      <c r="R24" s="675">
        <f>SUM(C24:Q24)</f>
        <v>2516.1321210897022</v>
      </c>
      <c r="S24" s="67"/>
    </row>
    <row r="25" spans="1:19" s="448" customFormat="1" ht="15" thickBot="1">
      <c r="A25" s="806" t="s">
        <v>849</v>
      </c>
      <c r="B25" s="994"/>
      <c r="C25" s="995">
        <f>IF(Onbekend_ele_kWh="---",0,Onbekend_ele_kWh)/1000+IF(REST_rest_ele_kWh="---",0,REST_rest_ele_kWh)/1000</f>
        <v>858.93060000000003</v>
      </c>
      <c r="D25" s="995"/>
      <c r="E25" s="995">
        <f>IF(onbekend_gas_kWh="---",0,onbekend_gas_kWh)/1000+IF(REST_rest_gas_kWh="---",0,REST_rest_gas_kWh)/1000</f>
        <v>1472.9162613942099</v>
      </c>
      <c r="F25" s="995"/>
      <c r="G25" s="995"/>
      <c r="H25" s="995"/>
      <c r="I25" s="995"/>
      <c r="J25" s="995"/>
      <c r="K25" s="995"/>
      <c r="L25" s="995"/>
      <c r="M25" s="995"/>
      <c r="N25" s="995"/>
      <c r="O25" s="995"/>
      <c r="P25" s="995"/>
      <c r="Q25" s="996"/>
      <c r="R25" s="675">
        <f>SUM(C25:Q25)</f>
        <v>2331.84686139421</v>
      </c>
      <c r="S25" s="67"/>
    </row>
    <row r="26" spans="1:19" s="448" customFormat="1" ht="15.75" thickBot="1">
      <c r="A26" s="680" t="s">
        <v>850</v>
      </c>
      <c r="B26" s="792"/>
      <c r="C26" s="787">
        <f>SUM(C24:C25)</f>
        <v>1516.0154000000002</v>
      </c>
      <c r="D26" s="787">
        <f t="shared" ref="D26:R26" si="2">SUM(D24:D25)</f>
        <v>0</v>
      </c>
      <c r="E26" s="787">
        <f t="shared" si="2"/>
        <v>1557.9896428001859</v>
      </c>
      <c r="F26" s="787">
        <f t="shared" si="2"/>
        <v>6.0861946300122955</v>
      </c>
      <c r="G26" s="787">
        <f t="shared" si="2"/>
        <v>1667.1493121259437</v>
      </c>
      <c r="H26" s="787">
        <f t="shared" si="2"/>
        <v>0</v>
      </c>
      <c r="I26" s="787">
        <f t="shared" si="2"/>
        <v>0</v>
      </c>
      <c r="J26" s="787">
        <f t="shared" si="2"/>
        <v>0</v>
      </c>
      <c r="K26" s="787">
        <f t="shared" si="2"/>
        <v>100.73843292777033</v>
      </c>
      <c r="L26" s="787">
        <f t="shared" si="2"/>
        <v>0</v>
      </c>
      <c r="M26" s="787">
        <f t="shared" si="2"/>
        <v>0</v>
      </c>
      <c r="N26" s="787">
        <f t="shared" si="2"/>
        <v>0</v>
      </c>
      <c r="O26" s="787">
        <f t="shared" si="2"/>
        <v>0</v>
      </c>
      <c r="P26" s="787">
        <f t="shared" si="2"/>
        <v>0</v>
      </c>
      <c r="Q26" s="787">
        <f t="shared" si="2"/>
        <v>0</v>
      </c>
      <c r="R26" s="787">
        <f t="shared" si="2"/>
        <v>4847.9789824839118</v>
      </c>
      <c r="S26" s="67"/>
    </row>
    <row r="27" spans="1:19" s="448" customFormat="1" ht="17.25" thickTop="1" thickBot="1">
      <c r="A27" s="681" t="s">
        <v>115</v>
      </c>
      <c r="B27" s="780"/>
      <c r="C27" s="682">
        <f ca="1">C22+C16+C26</f>
        <v>57900.500127328414</v>
      </c>
      <c r="D27" s="682">
        <f t="shared" ref="D27:R27" ca="1" si="3">D22+D16+D26</f>
        <v>0</v>
      </c>
      <c r="E27" s="682">
        <f t="shared" ca="1" si="3"/>
        <v>64241.769277446198</v>
      </c>
      <c r="F27" s="682">
        <f t="shared" si="3"/>
        <v>36081.055880985201</v>
      </c>
      <c r="G27" s="682">
        <f t="shared" ca="1" si="3"/>
        <v>47889.913219868162</v>
      </c>
      <c r="H27" s="682">
        <f t="shared" si="3"/>
        <v>78183.503391478254</v>
      </c>
      <c r="I27" s="682">
        <f t="shared" si="3"/>
        <v>13398.615779835762</v>
      </c>
      <c r="J27" s="682">
        <f t="shared" si="3"/>
        <v>0</v>
      </c>
      <c r="K27" s="682">
        <f t="shared" si="3"/>
        <v>5057.3225981326241</v>
      </c>
      <c r="L27" s="682">
        <f t="shared" si="3"/>
        <v>0</v>
      </c>
      <c r="M27" s="682">
        <f t="shared" ca="1" si="3"/>
        <v>0</v>
      </c>
      <c r="N27" s="682">
        <f t="shared" si="3"/>
        <v>4940.9502269892491</v>
      </c>
      <c r="O27" s="682">
        <f t="shared" ca="1" si="3"/>
        <v>12130.513220320774</v>
      </c>
      <c r="P27" s="682">
        <f t="shared" si="3"/>
        <v>221.99333333333334</v>
      </c>
      <c r="Q27" s="682">
        <f t="shared" si="3"/>
        <v>838.93333333333339</v>
      </c>
      <c r="R27" s="682">
        <f t="shared" ca="1" si="3"/>
        <v>320885.07038905128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2352.1806873077057</v>
      </c>
      <c r="D40" s="991">
        <f ca="1">tertiair!C20</f>
        <v>0</v>
      </c>
      <c r="E40" s="991">
        <f ca="1">tertiair!D20</f>
        <v>1989.7757133919338</v>
      </c>
      <c r="F40" s="991">
        <f>tertiair!E20</f>
        <v>26.509328952305502</v>
      </c>
      <c r="G40" s="991">
        <f ca="1">tertiair!F20</f>
        <v>419.20651198700011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4787.6722416389457</v>
      </c>
    </row>
    <row r="41" spans="1:18">
      <c r="A41" s="797" t="s">
        <v>224</v>
      </c>
      <c r="B41" s="804"/>
      <c r="C41" s="991">
        <f ca="1">huishoudens!B12</f>
        <v>7368.5606075125552</v>
      </c>
      <c r="D41" s="991">
        <f ca="1">huishoudens!C12</f>
        <v>0</v>
      </c>
      <c r="E41" s="991">
        <f>huishoudens!D12</f>
        <v>9951.6537322943677</v>
      </c>
      <c r="F41" s="991">
        <f>huishoudens!E12</f>
        <v>7942.3577864038707</v>
      </c>
      <c r="G41" s="991">
        <f>huishoudens!F12</f>
        <v>11138.545488813164</v>
      </c>
      <c r="H41" s="991">
        <f>huishoudens!G12</f>
        <v>0</v>
      </c>
      <c r="I41" s="991">
        <f>huishoudens!H12</f>
        <v>0</v>
      </c>
      <c r="J41" s="991">
        <f>huishoudens!I12</f>
        <v>0</v>
      </c>
      <c r="K41" s="991">
        <f>huishoudens!J12</f>
        <v>1743.0628362802702</v>
      </c>
      <c r="L41" s="991">
        <f>huishoudens!K12</f>
        <v>0</v>
      </c>
      <c r="M41" s="991">
        <f>huishoudens!L12</f>
        <v>0</v>
      </c>
      <c r="N41" s="991">
        <f>huishoudens!M12</f>
        <v>0</v>
      </c>
      <c r="O41" s="991">
        <f>huishoudens!N12</f>
        <v>0</v>
      </c>
      <c r="P41" s="991">
        <f>huishoudens!O12</f>
        <v>0</v>
      </c>
      <c r="Q41" s="749">
        <f>huishoudens!P12</f>
        <v>0</v>
      </c>
      <c r="R41" s="825">
        <f t="shared" ca="1" si="4"/>
        <v>38144.18045130423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1931.3035449446254</v>
      </c>
      <c r="D43" s="991">
        <f ca="1">industrie!C22</f>
        <v>0</v>
      </c>
      <c r="E43" s="991">
        <f>industrie!D22</f>
        <v>716.20028100046079</v>
      </c>
      <c r="F43" s="991">
        <f>industrie!E22</f>
        <v>172.50054558596884</v>
      </c>
      <c r="G43" s="991">
        <f>industrie!F22</f>
        <v>783.72596256700831</v>
      </c>
      <c r="H43" s="991">
        <f>industrie!G22</f>
        <v>0</v>
      </c>
      <c r="I43" s="991">
        <f>industrie!H22</f>
        <v>0</v>
      </c>
      <c r="J43" s="991">
        <f>industrie!I22</f>
        <v>0</v>
      </c>
      <c r="K43" s="991">
        <f>industrie!J22</f>
        <v>11.567958202247974</v>
      </c>
      <c r="L43" s="991">
        <f>industrie!K22</f>
        <v>0</v>
      </c>
      <c r="M43" s="991">
        <f>industrie!L22</f>
        <v>0</v>
      </c>
      <c r="N43" s="991">
        <f>industrie!M22</f>
        <v>0</v>
      </c>
      <c r="O43" s="991">
        <f>industrie!N22</f>
        <v>0</v>
      </c>
      <c r="P43" s="991">
        <f>industrie!O22</f>
        <v>0</v>
      </c>
      <c r="Q43" s="749">
        <f>industrie!P22</f>
        <v>0</v>
      </c>
      <c r="R43" s="824">
        <f t="shared" ca="1" si="4"/>
        <v>3615.2982923003115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11652.044839764887</v>
      </c>
      <c r="D46" s="707">
        <f t="shared" ref="D46:Q46" ca="1" si="5">SUM(D39:D45)</f>
        <v>0</v>
      </c>
      <c r="E46" s="707">
        <f t="shared" ca="1" si="5"/>
        <v>12657.629726686762</v>
      </c>
      <c r="F46" s="707">
        <f t="shared" si="5"/>
        <v>8141.3676609421454</v>
      </c>
      <c r="G46" s="707">
        <f t="shared" ca="1" si="5"/>
        <v>12341.477963367173</v>
      </c>
      <c r="H46" s="707">
        <f t="shared" si="5"/>
        <v>0</v>
      </c>
      <c r="I46" s="707">
        <f t="shared" si="5"/>
        <v>0</v>
      </c>
      <c r="J46" s="707">
        <f t="shared" si="5"/>
        <v>0</v>
      </c>
      <c r="K46" s="707">
        <f t="shared" si="5"/>
        <v>1754.6307944825182</v>
      </c>
      <c r="L46" s="707">
        <f t="shared" si="5"/>
        <v>0</v>
      </c>
      <c r="M46" s="707">
        <f t="shared" ca="1" si="5"/>
        <v>0</v>
      </c>
      <c r="N46" s="707">
        <f t="shared" si="5"/>
        <v>0</v>
      </c>
      <c r="O46" s="707">
        <f t="shared" ca="1" si="5"/>
        <v>0</v>
      </c>
      <c r="P46" s="707">
        <f t="shared" si="5"/>
        <v>0</v>
      </c>
      <c r="Q46" s="707">
        <f t="shared" si="5"/>
        <v>0</v>
      </c>
      <c r="R46" s="707">
        <f ca="1">SUM(R39:R45)</f>
        <v>46547.15098524349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196.21160721426835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196.21160721426835</v>
      </c>
    </row>
    <row r="50" spans="1:18">
      <c r="A50" s="800" t="s">
        <v>306</v>
      </c>
      <c r="B50" s="810"/>
      <c r="C50" s="678">
        <f ca="1">transport!B18</f>
        <v>2.1084351969780672</v>
      </c>
      <c r="D50" s="678">
        <f>transport!C18</f>
        <v>0</v>
      </c>
      <c r="E50" s="678">
        <f>transport!D18</f>
        <v>4.4937595117325246</v>
      </c>
      <c r="F50" s="678">
        <f>transport!E18</f>
        <v>47.650457860482831</v>
      </c>
      <c r="G50" s="678">
        <f>transport!F18</f>
        <v>0</v>
      </c>
      <c r="H50" s="678">
        <f>transport!G18</f>
        <v>20678.783798310425</v>
      </c>
      <c r="I50" s="678">
        <f>transport!H18</f>
        <v>3336.2553291791046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24069.291780058724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2.1084351969780672</v>
      </c>
      <c r="D52" s="707">
        <f t="shared" ref="D52:Q52" ca="1" si="6">SUM(D48:D51)</f>
        <v>0</v>
      </c>
      <c r="E52" s="707">
        <f t="shared" si="6"/>
        <v>4.4937595117325246</v>
      </c>
      <c r="F52" s="707">
        <f t="shared" si="6"/>
        <v>47.650457860482831</v>
      </c>
      <c r="G52" s="707">
        <f t="shared" si="6"/>
        <v>0</v>
      </c>
      <c r="H52" s="707">
        <f t="shared" si="6"/>
        <v>20874.995405524693</v>
      </c>
      <c r="I52" s="707">
        <f t="shared" si="6"/>
        <v>3336.2553291791046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24265.503387272991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135.81337154857601</v>
      </c>
      <c r="D54" s="678">
        <f ca="1">+landbouw!C12</f>
        <v>0</v>
      </c>
      <c r="E54" s="678">
        <f>+landbouw!D12</f>
        <v>17.184823044007182</v>
      </c>
      <c r="F54" s="678">
        <f>+landbouw!E12</f>
        <v>1.3815661810127911</v>
      </c>
      <c r="G54" s="678">
        <f>+landbouw!F12</f>
        <v>445.12886633762696</v>
      </c>
      <c r="H54" s="678">
        <f>+landbouw!G12</f>
        <v>0</v>
      </c>
      <c r="I54" s="678">
        <f>+landbouw!H12</f>
        <v>0</v>
      </c>
      <c r="J54" s="678">
        <f>+landbouw!I12</f>
        <v>0</v>
      </c>
      <c r="K54" s="678">
        <f>+landbouw!J12</f>
        <v>35.661405256430697</v>
      </c>
      <c r="L54" s="678">
        <f>+landbouw!K12</f>
        <v>0</v>
      </c>
      <c r="M54" s="678">
        <f>+landbouw!L12</f>
        <v>0</v>
      </c>
      <c r="N54" s="678">
        <f>+landbouw!M12</f>
        <v>0</v>
      </c>
      <c r="O54" s="678">
        <f>+landbouw!N12</f>
        <v>0</v>
      </c>
      <c r="P54" s="678">
        <f>+landbouw!O12</f>
        <v>0</v>
      </c>
      <c r="Q54" s="679">
        <f>+landbouw!P12</f>
        <v>0</v>
      </c>
      <c r="R54" s="706">
        <f ca="1">SUM(C54:Q54)</f>
        <v>635.17003236765368</v>
      </c>
    </row>
    <row r="55" spans="1:18" ht="15" thickBot="1">
      <c r="A55" s="800" t="s">
        <v>849</v>
      </c>
      <c r="B55" s="810"/>
      <c r="C55" s="678">
        <f ca="1">C25*'EF ele_warmte'!B12</f>
        <v>177.53303791571696</v>
      </c>
      <c r="D55" s="678"/>
      <c r="E55" s="678">
        <f>E25*EF_CO2_aardgas</f>
        <v>297.5290848016304</v>
      </c>
      <c r="F55" s="678"/>
      <c r="G55" s="678"/>
      <c r="H55" s="678"/>
      <c r="I55" s="678"/>
      <c r="J55" s="678"/>
      <c r="K55" s="678"/>
      <c r="L55" s="678"/>
      <c r="M55" s="678"/>
      <c r="N55" s="678"/>
      <c r="O55" s="678"/>
      <c r="P55" s="678"/>
      <c r="Q55" s="679"/>
      <c r="R55" s="706">
        <f ca="1">SUM(C55:Q55)</f>
        <v>475.06212271734739</v>
      </c>
    </row>
    <row r="56" spans="1:18" ht="15.75" thickBot="1">
      <c r="A56" s="798" t="s">
        <v>850</v>
      </c>
      <c r="B56" s="811"/>
      <c r="C56" s="707">
        <f ca="1">SUM(C54:C55)</f>
        <v>313.34640946429295</v>
      </c>
      <c r="D56" s="707">
        <f t="shared" ref="D56:Q56" ca="1" si="7">SUM(D54:D55)</f>
        <v>0</v>
      </c>
      <c r="E56" s="707">
        <f t="shared" si="7"/>
        <v>314.71390784563761</v>
      </c>
      <c r="F56" s="707">
        <f t="shared" si="7"/>
        <v>1.3815661810127911</v>
      </c>
      <c r="G56" s="707">
        <f t="shared" si="7"/>
        <v>445.12886633762696</v>
      </c>
      <c r="H56" s="707">
        <f t="shared" si="7"/>
        <v>0</v>
      </c>
      <c r="I56" s="707">
        <f t="shared" si="7"/>
        <v>0</v>
      </c>
      <c r="J56" s="707">
        <f t="shared" si="7"/>
        <v>0</v>
      </c>
      <c r="K56" s="707">
        <f t="shared" si="7"/>
        <v>35.661405256430697</v>
      </c>
      <c r="L56" s="707">
        <f t="shared" si="7"/>
        <v>0</v>
      </c>
      <c r="M56" s="707">
        <f t="shared" si="7"/>
        <v>0</v>
      </c>
      <c r="N56" s="707">
        <f t="shared" si="7"/>
        <v>0</v>
      </c>
      <c r="O56" s="707">
        <f t="shared" si="7"/>
        <v>0</v>
      </c>
      <c r="P56" s="707">
        <f t="shared" si="7"/>
        <v>0</v>
      </c>
      <c r="Q56" s="708">
        <f t="shared" si="7"/>
        <v>0</v>
      </c>
      <c r="R56" s="709">
        <f ca="1">SUM(R54:R55)</f>
        <v>1110.2321550850011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11967.499684426159</v>
      </c>
      <c r="D61" s="715">
        <f t="shared" ref="D61:Q61" ca="1" si="8">D46+D52+D56</f>
        <v>0</v>
      </c>
      <c r="E61" s="715">
        <f t="shared" ca="1" si="8"/>
        <v>12976.837394044132</v>
      </c>
      <c r="F61" s="715">
        <f t="shared" si="8"/>
        <v>8190.3996849836412</v>
      </c>
      <c r="G61" s="715">
        <f t="shared" ca="1" si="8"/>
        <v>12786.6068297048</v>
      </c>
      <c r="H61" s="715">
        <f t="shared" si="8"/>
        <v>20874.995405524693</v>
      </c>
      <c r="I61" s="715">
        <f t="shared" si="8"/>
        <v>3336.2553291791046</v>
      </c>
      <c r="J61" s="715">
        <f t="shared" si="8"/>
        <v>0</v>
      </c>
      <c r="K61" s="715">
        <f t="shared" si="8"/>
        <v>1790.292199738949</v>
      </c>
      <c r="L61" s="715">
        <f t="shared" si="8"/>
        <v>0</v>
      </c>
      <c r="M61" s="715">
        <f t="shared" ca="1" si="8"/>
        <v>0</v>
      </c>
      <c r="N61" s="715">
        <f t="shared" si="8"/>
        <v>0</v>
      </c>
      <c r="O61" s="715">
        <f t="shared" ca="1" si="8"/>
        <v>0</v>
      </c>
      <c r="P61" s="715">
        <f t="shared" si="8"/>
        <v>0</v>
      </c>
      <c r="Q61" s="715">
        <f t="shared" si="8"/>
        <v>0</v>
      </c>
      <c r="R61" s="715">
        <f ca="1">R46+R52+R56</f>
        <v>71922.886527601484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0.20669078260306126</v>
      </c>
      <c r="D63" s="756">
        <f t="shared" ca="1" si="9"/>
        <v>0</v>
      </c>
      <c r="E63" s="1002">
        <f t="shared" ca="1" si="9"/>
        <v>0.20200000000000001</v>
      </c>
      <c r="F63" s="756">
        <f t="shared" si="9"/>
        <v>0.22700000000000001</v>
      </c>
      <c r="G63" s="756">
        <f t="shared" ca="1" si="9"/>
        <v>0.26700000000000002</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3748.9178448571115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3748.9178448571115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3748.9178448571115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3748.9178448571115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35650.165501881558</v>
      </c>
      <c r="C4" s="452">
        <f>huishoudens!C8</f>
        <v>0</v>
      </c>
      <c r="D4" s="452">
        <f>huishoudens!D8</f>
        <v>49265.612536110726</v>
      </c>
      <c r="E4" s="452">
        <f>huishoudens!E8</f>
        <v>34988.360292528065</v>
      </c>
      <c r="F4" s="452">
        <f>huishoudens!F8</f>
        <v>41717.398834506232</v>
      </c>
      <c r="G4" s="452">
        <f>huishoudens!G8</f>
        <v>0</v>
      </c>
      <c r="H4" s="452">
        <f>huishoudens!H8</f>
        <v>0</v>
      </c>
      <c r="I4" s="452">
        <f>huishoudens!I8</f>
        <v>0</v>
      </c>
      <c r="J4" s="452">
        <f>huishoudens!J8</f>
        <v>4923.9063171759044</v>
      </c>
      <c r="K4" s="452">
        <f>huishoudens!K8</f>
        <v>0</v>
      </c>
      <c r="L4" s="452">
        <f>huishoudens!L8</f>
        <v>0</v>
      </c>
      <c r="M4" s="452">
        <f>huishoudens!M8</f>
        <v>0</v>
      </c>
      <c r="N4" s="452">
        <f>huishoudens!N8</f>
        <v>10475.336582362066</v>
      </c>
      <c r="O4" s="452">
        <f>huishoudens!O8</f>
        <v>218.86666666666667</v>
      </c>
      <c r="P4" s="453">
        <f>huishoudens!P8</f>
        <v>838.93333333333339</v>
      </c>
      <c r="Q4" s="454">
        <f>SUM(B4:P4)</f>
        <v>178078.58006456454</v>
      </c>
    </row>
    <row r="5" spans="1:17">
      <c r="A5" s="451" t="s">
        <v>155</v>
      </c>
      <c r="B5" s="452">
        <f ca="1">tertiair!B16</f>
        <v>10259.0815</v>
      </c>
      <c r="C5" s="452">
        <f ca="1">tertiair!C16</f>
        <v>0</v>
      </c>
      <c r="D5" s="452">
        <f ca="1">tertiair!D16</f>
        <v>9850.3748187719484</v>
      </c>
      <c r="E5" s="452">
        <f>tertiair!E16</f>
        <v>116.78118481191851</v>
      </c>
      <c r="F5" s="452">
        <f ca="1">tertiair!F16</f>
        <v>1570.0618426479405</v>
      </c>
      <c r="G5" s="452">
        <f>tertiair!G16</f>
        <v>0</v>
      </c>
      <c r="H5" s="452">
        <f>tertiair!H16</f>
        <v>0</v>
      </c>
      <c r="I5" s="452">
        <f>tertiair!I16</f>
        <v>0</v>
      </c>
      <c r="J5" s="452">
        <f>tertiair!J16</f>
        <v>0</v>
      </c>
      <c r="K5" s="452">
        <f>tertiair!K16</f>
        <v>0</v>
      </c>
      <c r="L5" s="452">
        <f ca="1">tertiair!L16</f>
        <v>0</v>
      </c>
      <c r="M5" s="452">
        <f>tertiair!M16</f>
        <v>0</v>
      </c>
      <c r="N5" s="452">
        <f ca="1">tertiair!N16</f>
        <v>1100.2190721302582</v>
      </c>
      <c r="O5" s="452">
        <f>tertiair!O16</f>
        <v>3.1266666666666669</v>
      </c>
      <c r="P5" s="453">
        <f>tertiair!P16</f>
        <v>0</v>
      </c>
      <c r="Q5" s="451">
        <f t="shared" ref="Q5:Q14" ca="1" si="0">SUM(B5:P5)</f>
        <v>22899.645085028733</v>
      </c>
    </row>
    <row r="6" spans="1:17">
      <c r="A6" s="451" t="s">
        <v>193</v>
      </c>
      <c r="B6" s="452">
        <f>'openbare verlichting'!B8</f>
        <v>1121.1099999999999</v>
      </c>
      <c r="C6" s="452"/>
      <c r="D6" s="452"/>
      <c r="E6" s="452"/>
      <c r="F6" s="452"/>
      <c r="G6" s="452"/>
      <c r="H6" s="452"/>
      <c r="I6" s="452"/>
      <c r="J6" s="452"/>
      <c r="K6" s="452"/>
      <c r="L6" s="452"/>
      <c r="M6" s="452"/>
      <c r="N6" s="452"/>
      <c r="O6" s="452"/>
      <c r="P6" s="453"/>
      <c r="Q6" s="451">
        <f t="shared" si="0"/>
        <v>1121.1099999999999</v>
      </c>
    </row>
    <row r="7" spans="1:17">
      <c r="A7" s="451" t="s">
        <v>111</v>
      </c>
      <c r="B7" s="452">
        <f>landbouw!B8</f>
        <v>657.08480000000009</v>
      </c>
      <c r="C7" s="452">
        <f>landbouw!C8</f>
        <v>0</v>
      </c>
      <c r="D7" s="452">
        <f>landbouw!D8</f>
        <v>85.07338140597615</v>
      </c>
      <c r="E7" s="452">
        <f>landbouw!E8</f>
        <v>6.0861946300122955</v>
      </c>
      <c r="F7" s="452">
        <f>landbouw!F8</f>
        <v>1667.1493121259437</v>
      </c>
      <c r="G7" s="452">
        <f>landbouw!G8</f>
        <v>0</v>
      </c>
      <c r="H7" s="452">
        <f>landbouw!H8</f>
        <v>0</v>
      </c>
      <c r="I7" s="452">
        <f>landbouw!I8</f>
        <v>0</v>
      </c>
      <c r="J7" s="452">
        <f>landbouw!J8</f>
        <v>100.73843292777033</v>
      </c>
      <c r="K7" s="452">
        <f>landbouw!K8</f>
        <v>0</v>
      </c>
      <c r="L7" s="452">
        <f>landbouw!L8</f>
        <v>0</v>
      </c>
      <c r="M7" s="452">
        <f>landbouw!M8</f>
        <v>0</v>
      </c>
      <c r="N7" s="452">
        <f>landbouw!N8</f>
        <v>0</v>
      </c>
      <c r="O7" s="452">
        <f>landbouw!O8</f>
        <v>0</v>
      </c>
      <c r="P7" s="453">
        <f>landbouw!P8</f>
        <v>0</v>
      </c>
      <c r="Q7" s="451">
        <f t="shared" si="0"/>
        <v>2516.1321210897022</v>
      </c>
    </row>
    <row r="8" spans="1:17">
      <c r="A8" s="451" t="s">
        <v>649</v>
      </c>
      <c r="B8" s="452">
        <f>industrie!B18</f>
        <v>9343.926809999999</v>
      </c>
      <c r="C8" s="452">
        <f>industrie!C18</f>
        <v>0</v>
      </c>
      <c r="D8" s="452">
        <f>industrie!D18</f>
        <v>3545.5459455468354</v>
      </c>
      <c r="E8" s="452">
        <f>industrie!E18</f>
        <v>759.91429773554546</v>
      </c>
      <c r="F8" s="452">
        <f>industrie!F18</f>
        <v>2935.3032305880461</v>
      </c>
      <c r="G8" s="452">
        <f>industrie!G18</f>
        <v>0</v>
      </c>
      <c r="H8" s="452">
        <f>industrie!H18</f>
        <v>0</v>
      </c>
      <c r="I8" s="452">
        <f>industrie!I18</f>
        <v>0</v>
      </c>
      <c r="J8" s="452">
        <f>industrie!J18</f>
        <v>32.677848028949079</v>
      </c>
      <c r="K8" s="452">
        <f>industrie!K18</f>
        <v>0</v>
      </c>
      <c r="L8" s="452">
        <f>industrie!L18</f>
        <v>0</v>
      </c>
      <c r="M8" s="452">
        <f>industrie!M18</f>
        <v>0</v>
      </c>
      <c r="N8" s="452">
        <f>industrie!N18</f>
        <v>554.95756582845036</v>
      </c>
      <c r="O8" s="452">
        <f>industrie!O18</f>
        <v>0</v>
      </c>
      <c r="P8" s="453">
        <f>industrie!P18</f>
        <v>0</v>
      </c>
      <c r="Q8" s="451">
        <f t="shared" si="0"/>
        <v>17172.325697727829</v>
      </c>
    </row>
    <row r="9" spans="1:17" s="457" customFormat="1">
      <c r="A9" s="455" t="s">
        <v>570</v>
      </c>
      <c r="B9" s="456">
        <f>transport!B14</f>
        <v>10.200915446854763</v>
      </c>
      <c r="C9" s="456">
        <f>transport!C14</f>
        <v>0</v>
      </c>
      <c r="D9" s="456">
        <f>transport!D14</f>
        <v>22.246334216497647</v>
      </c>
      <c r="E9" s="456">
        <f>transport!E14</f>
        <v>209.91391127966006</v>
      </c>
      <c r="F9" s="456">
        <f>transport!F14</f>
        <v>0</v>
      </c>
      <c r="G9" s="456">
        <f>transport!G14</f>
        <v>77448.62845809148</v>
      </c>
      <c r="H9" s="456">
        <f>transport!H14</f>
        <v>13398.615779835762</v>
      </c>
      <c r="I9" s="456">
        <f>transport!I14</f>
        <v>0</v>
      </c>
      <c r="J9" s="456">
        <f>transport!J14</f>
        <v>0</v>
      </c>
      <c r="K9" s="456">
        <f>transport!K14</f>
        <v>0</v>
      </c>
      <c r="L9" s="456">
        <f>transport!L14</f>
        <v>0</v>
      </c>
      <c r="M9" s="456">
        <f>transport!M14</f>
        <v>4898.9470125414937</v>
      </c>
      <c r="N9" s="456">
        <f>transport!N14</f>
        <v>0</v>
      </c>
      <c r="O9" s="456">
        <f>transport!O14</f>
        <v>0</v>
      </c>
      <c r="P9" s="456">
        <f>transport!P14</f>
        <v>0</v>
      </c>
      <c r="Q9" s="455">
        <f>SUM(B9:P9)</f>
        <v>95988.552411411743</v>
      </c>
    </row>
    <row r="10" spans="1:17">
      <c r="A10" s="451" t="s">
        <v>560</v>
      </c>
      <c r="B10" s="452">
        <f>transport!B54</f>
        <v>0</v>
      </c>
      <c r="C10" s="452">
        <f>transport!C54</f>
        <v>0</v>
      </c>
      <c r="D10" s="452">
        <f>transport!D54</f>
        <v>0</v>
      </c>
      <c r="E10" s="452">
        <f>transport!E54</f>
        <v>0</v>
      </c>
      <c r="F10" s="452">
        <f>transport!F54</f>
        <v>0</v>
      </c>
      <c r="G10" s="452">
        <f>transport!G54</f>
        <v>734.8749333867728</v>
      </c>
      <c r="H10" s="452">
        <f>transport!H54</f>
        <v>0</v>
      </c>
      <c r="I10" s="452">
        <f>transport!I54</f>
        <v>0</v>
      </c>
      <c r="J10" s="452">
        <f>transport!J54</f>
        <v>0</v>
      </c>
      <c r="K10" s="452">
        <f>transport!K54</f>
        <v>0</v>
      </c>
      <c r="L10" s="452">
        <f>transport!L54</f>
        <v>0</v>
      </c>
      <c r="M10" s="452">
        <f>transport!M54</f>
        <v>42.003214447755511</v>
      </c>
      <c r="N10" s="452">
        <f>transport!N54</f>
        <v>0</v>
      </c>
      <c r="O10" s="452">
        <f>transport!O54</f>
        <v>0</v>
      </c>
      <c r="P10" s="453">
        <f>transport!P54</f>
        <v>0</v>
      </c>
      <c r="Q10" s="451">
        <f t="shared" si="0"/>
        <v>776.87814783452836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858.93060000000003</v>
      </c>
      <c r="C14" s="459"/>
      <c r="D14" s="459">
        <f>'SEAP template'!E25</f>
        <v>1472.9162613942099</v>
      </c>
      <c r="E14" s="459"/>
      <c r="F14" s="459"/>
      <c r="G14" s="459"/>
      <c r="H14" s="459"/>
      <c r="I14" s="459"/>
      <c r="J14" s="459"/>
      <c r="K14" s="459"/>
      <c r="L14" s="459"/>
      <c r="M14" s="459"/>
      <c r="N14" s="459"/>
      <c r="O14" s="459"/>
      <c r="P14" s="460"/>
      <c r="Q14" s="451">
        <f t="shared" si="0"/>
        <v>2331.84686139421</v>
      </c>
    </row>
    <row r="15" spans="1:17" s="461" customFormat="1">
      <c r="A15" s="1017" t="s">
        <v>564</v>
      </c>
      <c r="B15" s="957">
        <f ca="1">SUM(B4:B14)</f>
        <v>57900.500127328407</v>
      </c>
      <c r="C15" s="957">
        <f t="shared" ref="C15:Q15" ca="1" si="1">SUM(C4:C14)</f>
        <v>0</v>
      </c>
      <c r="D15" s="957">
        <f t="shared" ca="1" si="1"/>
        <v>64241.769277446198</v>
      </c>
      <c r="E15" s="957">
        <f t="shared" si="1"/>
        <v>36081.055880985201</v>
      </c>
      <c r="F15" s="957">
        <f t="shared" ca="1" si="1"/>
        <v>47889.913219868162</v>
      </c>
      <c r="G15" s="957">
        <f t="shared" si="1"/>
        <v>78183.503391478254</v>
      </c>
      <c r="H15" s="957">
        <f t="shared" si="1"/>
        <v>13398.615779835762</v>
      </c>
      <c r="I15" s="957">
        <f t="shared" si="1"/>
        <v>0</v>
      </c>
      <c r="J15" s="957">
        <f t="shared" si="1"/>
        <v>5057.3225981326241</v>
      </c>
      <c r="K15" s="957">
        <f t="shared" si="1"/>
        <v>0</v>
      </c>
      <c r="L15" s="957">
        <f t="shared" ca="1" si="1"/>
        <v>0</v>
      </c>
      <c r="M15" s="957">
        <f t="shared" si="1"/>
        <v>4940.9502269892491</v>
      </c>
      <c r="N15" s="957">
        <f t="shared" ca="1" si="1"/>
        <v>12130.513220320774</v>
      </c>
      <c r="O15" s="957">
        <f t="shared" si="1"/>
        <v>221.99333333333334</v>
      </c>
      <c r="P15" s="957">
        <f t="shared" si="1"/>
        <v>838.93333333333339</v>
      </c>
      <c r="Q15" s="957">
        <f t="shared" ca="1" si="1"/>
        <v>320885.07038905128</v>
      </c>
    </row>
    <row r="17" spans="1:17">
      <c r="A17" s="462" t="s">
        <v>565</v>
      </c>
      <c r="B17" s="761">
        <f ca="1">huishoudens!B10</f>
        <v>0.20669078260306126</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7368.5606075125552</v>
      </c>
      <c r="C22" s="452">
        <f t="shared" ref="C22:C32" ca="1" si="3">C4*$C$17</f>
        <v>0</v>
      </c>
      <c r="D22" s="452">
        <f t="shared" ref="D22:D32" si="4">D4*$D$17</f>
        <v>9951.6537322943677</v>
      </c>
      <c r="E22" s="452">
        <f t="shared" ref="E22:E32" si="5">E4*$E$17</f>
        <v>7942.3577864038707</v>
      </c>
      <c r="F22" s="452">
        <f t="shared" ref="F22:F32" si="6">F4*$F$17</f>
        <v>11138.545488813164</v>
      </c>
      <c r="G22" s="452">
        <f t="shared" ref="G22:G32" si="7">G4*$G$17</f>
        <v>0</v>
      </c>
      <c r="H22" s="452">
        <f t="shared" ref="H22:H32" si="8">H4*$H$17</f>
        <v>0</v>
      </c>
      <c r="I22" s="452">
        <f t="shared" ref="I22:I32" si="9">I4*$I$17</f>
        <v>0</v>
      </c>
      <c r="J22" s="452">
        <f t="shared" ref="J22:J32" si="10">J4*$J$17</f>
        <v>1743.0628362802702</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38144.18045130423</v>
      </c>
    </row>
    <row r="23" spans="1:17">
      <c r="A23" s="451" t="s">
        <v>155</v>
      </c>
      <c r="B23" s="452">
        <f t="shared" ca="1" si="2"/>
        <v>2120.4575840235875</v>
      </c>
      <c r="C23" s="452">
        <f t="shared" ca="1" si="3"/>
        <v>0</v>
      </c>
      <c r="D23" s="452">
        <f t="shared" ca="1" si="4"/>
        <v>1989.7757133919338</v>
      </c>
      <c r="E23" s="452">
        <f t="shared" si="5"/>
        <v>26.509328952305502</v>
      </c>
      <c r="F23" s="452">
        <f t="shared" ca="1" si="6"/>
        <v>419.20651198700011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4555.9491383548275</v>
      </c>
    </row>
    <row r="24" spans="1:17">
      <c r="A24" s="451" t="s">
        <v>193</v>
      </c>
      <c r="B24" s="452">
        <f t="shared" ca="1" si="2"/>
        <v>231.723103284118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231.723103284118</v>
      </c>
    </row>
    <row r="25" spans="1:17">
      <c r="A25" s="451" t="s">
        <v>111</v>
      </c>
      <c r="B25" s="452">
        <f t="shared" ca="1" si="2"/>
        <v>135.81337154857601</v>
      </c>
      <c r="C25" s="452">
        <f t="shared" ca="1" si="3"/>
        <v>0</v>
      </c>
      <c r="D25" s="452">
        <f t="shared" si="4"/>
        <v>17.184823044007182</v>
      </c>
      <c r="E25" s="452">
        <f t="shared" si="5"/>
        <v>1.3815661810127911</v>
      </c>
      <c r="F25" s="452">
        <f t="shared" si="6"/>
        <v>445.12886633762696</v>
      </c>
      <c r="G25" s="452">
        <f t="shared" si="7"/>
        <v>0</v>
      </c>
      <c r="H25" s="452">
        <f t="shared" si="8"/>
        <v>0</v>
      </c>
      <c r="I25" s="452">
        <f t="shared" si="9"/>
        <v>0</v>
      </c>
      <c r="J25" s="452">
        <f t="shared" si="10"/>
        <v>35.661405256430697</v>
      </c>
      <c r="K25" s="452">
        <f t="shared" si="11"/>
        <v>0</v>
      </c>
      <c r="L25" s="452">
        <f t="shared" si="12"/>
        <v>0</v>
      </c>
      <c r="M25" s="452">
        <f t="shared" si="13"/>
        <v>0</v>
      </c>
      <c r="N25" s="452">
        <f t="shared" si="14"/>
        <v>0</v>
      </c>
      <c r="O25" s="452">
        <f t="shared" si="15"/>
        <v>0</v>
      </c>
      <c r="P25" s="453">
        <f t="shared" si="16"/>
        <v>0</v>
      </c>
      <c r="Q25" s="451">
        <f t="shared" ca="1" si="17"/>
        <v>635.17003236765368</v>
      </c>
    </row>
    <row r="26" spans="1:17">
      <c r="A26" s="451" t="s">
        <v>649</v>
      </c>
      <c r="B26" s="452">
        <f t="shared" ca="1" si="2"/>
        <v>1931.3035449446254</v>
      </c>
      <c r="C26" s="452">
        <f t="shared" ca="1" si="3"/>
        <v>0</v>
      </c>
      <c r="D26" s="452">
        <f t="shared" si="4"/>
        <v>716.20028100046079</v>
      </c>
      <c r="E26" s="452">
        <f t="shared" si="5"/>
        <v>172.50054558596884</v>
      </c>
      <c r="F26" s="452">
        <f t="shared" si="6"/>
        <v>783.72596256700831</v>
      </c>
      <c r="G26" s="452">
        <f t="shared" si="7"/>
        <v>0</v>
      </c>
      <c r="H26" s="452">
        <f t="shared" si="8"/>
        <v>0</v>
      </c>
      <c r="I26" s="452">
        <f t="shared" si="9"/>
        <v>0</v>
      </c>
      <c r="J26" s="452">
        <f t="shared" si="10"/>
        <v>11.567958202247974</v>
      </c>
      <c r="K26" s="452">
        <f t="shared" si="11"/>
        <v>0</v>
      </c>
      <c r="L26" s="452">
        <f t="shared" si="12"/>
        <v>0</v>
      </c>
      <c r="M26" s="452">
        <f t="shared" si="13"/>
        <v>0</v>
      </c>
      <c r="N26" s="452">
        <f t="shared" si="14"/>
        <v>0</v>
      </c>
      <c r="O26" s="452">
        <f t="shared" si="15"/>
        <v>0</v>
      </c>
      <c r="P26" s="453">
        <f t="shared" si="16"/>
        <v>0</v>
      </c>
      <c r="Q26" s="451">
        <f t="shared" ca="1" si="17"/>
        <v>3615.2982923003115</v>
      </c>
    </row>
    <row r="27" spans="1:17" s="457" customFormat="1">
      <c r="A27" s="455" t="s">
        <v>570</v>
      </c>
      <c r="B27" s="755">
        <f t="shared" ca="1" si="2"/>
        <v>2.1084351969780672</v>
      </c>
      <c r="C27" s="456">
        <f t="shared" ca="1" si="3"/>
        <v>0</v>
      </c>
      <c r="D27" s="456">
        <f t="shared" si="4"/>
        <v>4.4937595117325246</v>
      </c>
      <c r="E27" s="456">
        <f t="shared" si="5"/>
        <v>47.650457860482831</v>
      </c>
      <c r="F27" s="456">
        <f t="shared" si="6"/>
        <v>0</v>
      </c>
      <c r="G27" s="456">
        <f t="shared" si="7"/>
        <v>20678.783798310425</v>
      </c>
      <c r="H27" s="456">
        <f t="shared" si="8"/>
        <v>3336.2553291791046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24069.291780058724</v>
      </c>
    </row>
    <row r="28" spans="1:17">
      <c r="A28" s="451" t="s">
        <v>560</v>
      </c>
      <c r="B28" s="452">
        <f t="shared" ca="1" si="2"/>
        <v>0</v>
      </c>
      <c r="C28" s="452">
        <f t="shared" ca="1" si="3"/>
        <v>0</v>
      </c>
      <c r="D28" s="452">
        <f t="shared" si="4"/>
        <v>0</v>
      </c>
      <c r="E28" s="452">
        <f t="shared" si="5"/>
        <v>0</v>
      </c>
      <c r="F28" s="452">
        <f t="shared" si="6"/>
        <v>0</v>
      </c>
      <c r="G28" s="452">
        <f t="shared" si="7"/>
        <v>196.21160721426835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196.21160721426835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177.53303791571696</v>
      </c>
      <c r="C32" s="452">
        <f t="shared" ca="1" si="3"/>
        <v>0</v>
      </c>
      <c r="D32" s="452">
        <f t="shared" si="4"/>
        <v>297.5290848016304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475.06212271734739</v>
      </c>
    </row>
    <row r="33" spans="1:17" s="461" customFormat="1">
      <c r="A33" s="1017" t="s">
        <v>564</v>
      </c>
      <c r="B33" s="957">
        <f ca="1">SUM(B22:B32)</f>
        <v>11967.499684426157</v>
      </c>
      <c r="C33" s="957">
        <f t="shared" ref="C33:Q33" ca="1" si="18">SUM(C22:C32)</f>
        <v>0</v>
      </c>
      <c r="D33" s="957">
        <f t="shared" ca="1" si="18"/>
        <v>12976.837394044131</v>
      </c>
      <c r="E33" s="957">
        <f t="shared" si="18"/>
        <v>8190.3996849836412</v>
      </c>
      <c r="F33" s="957">
        <f t="shared" ca="1" si="18"/>
        <v>12786.6068297048</v>
      </c>
      <c r="G33" s="957">
        <f t="shared" si="18"/>
        <v>20874.995405524693</v>
      </c>
      <c r="H33" s="957">
        <f t="shared" si="18"/>
        <v>3336.2553291791046</v>
      </c>
      <c r="I33" s="957">
        <f t="shared" si="18"/>
        <v>0</v>
      </c>
      <c r="J33" s="957">
        <f t="shared" si="18"/>
        <v>1790.292199738949</v>
      </c>
      <c r="K33" s="957">
        <f t="shared" si="18"/>
        <v>0</v>
      </c>
      <c r="L33" s="957">
        <f t="shared" ca="1" si="18"/>
        <v>0</v>
      </c>
      <c r="M33" s="957">
        <f t="shared" si="18"/>
        <v>0</v>
      </c>
      <c r="N33" s="957">
        <f t="shared" ca="1" si="18"/>
        <v>0</v>
      </c>
      <c r="O33" s="957">
        <f t="shared" si="18"/>
        <v>0</v>
      </c>
      <c r="P33" s="957">
        <f t="shared" si="18"/>
        <v>0</v>
      </c>
      <c r="Q33" s="957">
        <f t="shared" ca="1" si="18"/>
        <v>71922.886527601484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3748.9178448571115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3748.9178448571115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0.20669078260306126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0.20669078260306126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2020-06-20T16:09:04Z</dcterms:modified>
</cp:coreProperties>
</file>