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<sst xmlns="http://schemas.openxmlformats.org/spreadsheetml/2006/main" count="2434" uniqueCount="913">
  <si>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</si>
  <si>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</si>
  <si>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</si>
  <si>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</si>
  <si>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</si>
  <si>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</si>
  <si>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</si>
  <si>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</si>
  <si>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</si>
  <si>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</si>
  <si>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</si>
  <si>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</si>
  <si>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</si>
  <si>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</si>
  <si>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</si>
  <si>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</si>
  <si>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</si>
  <si>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</si>
  <si>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</si>
  <si>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</si>
  <si>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</si>
  <si>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</si>
  <si>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</si>
  <si>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</si>
  <si>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</si>
  <si>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</si>
  <si>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</si>
  <si>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</si>
  <si>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</si>
  <si>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</si>
  <si>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</si>
  <si>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</si>
  <si>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</si>
  <si>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</si>
  <si>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</si>
  <si>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</si>
  <si>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</si>
  <si>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</si>
  <si>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</si>
  <si>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</si>
  <si>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</si>
  <si>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</si>
  <si>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</si>
  <si>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</si>
  <si>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</si>
  <si>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</si>
  <si>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</si>
  <si>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</si>
  <si>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</si>
  <si>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</si>
  <si>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</si>
  <si>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</si>
  <si>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</si>
  <si>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</si>
  <si>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</si>
  <si>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</si>
  <si>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</si>
  <si>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</si>
  <si>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</si>
  <si>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</si>
  <si>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</si>
  <si>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</si>
  <si>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</si>
  <si>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</si>
  <si>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</si>
  <si>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</si>
  <si>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</si>
  <si>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</si>
  <si>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</si>
  <si>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</si>
  <si>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</si>
  <si>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</si>
  <si>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</si>
  <si>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</si>
  <si>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</si>
  <si>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</si>
  <si>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</si>
  <si>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</si>
  <si>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</si>
  <si>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</si>
  <si>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</si>
  <si>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</si>
  <si>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</si>
  <si>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</si>
  <si>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</si>
  <si>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</si>
  <si>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</si>
  <si>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</si>
  <si>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</si>
  <si>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</si>
  <si>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</si>
  <si>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</si>
  <si>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</si>
  <si>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</si>
  <si>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</si>
  <si>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</si>
  <si>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</si>
  <si>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</si>
  <si>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</si>
  <si>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</si>
  <si>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</si>
  <si>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</si>
  <si>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</si>
  <si>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</si>
  <si>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</si>
  <si>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</si>
  <si>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</si>
  <si>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</si>
  <si>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</si>
  <si>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</si>
  <si>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</si>
  <si>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</si>
  <si>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</si>
  <si>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</si>
  <si>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</si>
  <si>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</si>
  <si>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</si>
  <si>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</si>
  <si>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</si>
  <si>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</si>
  <si>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</si>
  <si>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</si>
  <si>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</si>
  <si>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</si>
  <si>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</si>
  <si>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</si>
  <si>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</si>
  <si>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</si>
  <si>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</si>
  <si>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</si>
  <si>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</si>
  <si>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</si>
  <si>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</si>
  <si>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</si>
  <si>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</si>
  <si>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</si>
  <si>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</si>
  <si>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</si>
  <si>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</si>
  <si>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</si>
  <si>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</si>
  <si>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</si>
  <si>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</si>
  <si>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</si>
  <si>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</si>
  <si>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</si>
  <si>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</si>
  <si>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</si>
  <si>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</si>
  <si>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</si>
  <si>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</si>
  <si>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</si>
  <si>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</si>
  <si>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</si>
  <si>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</si>
  <si>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</si>
  <si>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</si>
  <si>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</si>
  <si>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</si>
  <si>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</si>
  <si>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</si>
  <si>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</si>
  <si>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</si>
  <si>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</si>
  <si>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</si>
  <si>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</si>
  <si>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</si>
  <si>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</si>
  <si>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</si>
  <si>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</si>
  <si>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</si>
  <si>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</si>
  <si>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</si>
  <si>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</si>
  <si>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</si>
  <si>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</si>
  <si>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</si>
  <si>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</si>
  <si>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</si>
  <si>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</si>
  <si>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</si>
  <si>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</si>
  <si>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</si>
  <si>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</si>
  <si>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</si>
  <si>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</si>
  <si>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</si>
  <si>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</si>
  <si>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</si>
  <si>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</si>
  <si>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</si>
  <si>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</si>
  <si>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</si>
  <si>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</si>
  <si>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</si>
  <si>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</si>
  <si>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</si>
  <si>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</si>
  <si>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</si>
  <si>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</si>
  <si>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</si>
  <si>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</si>
  <si>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</si>
  <si>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</si>
  <si>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</si>
  <si>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</si>
  <si>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</si>
  <si>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</si>
  <si>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</si>
  <si>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</si>
  <si>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</si>
  <si>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</si>
  <si>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</si>
  <si>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</si>
  <si>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</si>
  <si>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</si>
  <si>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</si>
  <si>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</si>
  <si>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</si>
  <si>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</si>
  <si>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</si>
  <si>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</si>
  <si>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</si>
  <si>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</si>
  <si>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</si>
  <si>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</si>
  <si>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</si>
  <si>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</si>
  <si>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</si>
  <si>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</si>
  <si>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</si>
  <si>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</si>
  <si>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</si>
  <si>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</si>
  <si>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</si>
  <si>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</si>
  <si>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</si>
  <si>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</si>
  <si>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</si>
  <si>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</si>
  <si>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</si>
  <si>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</si>
  <si>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</si>
  <si>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</si>
  <si>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</si>
  <si>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</si>
  <si>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</si>
  <si>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</si>
  <si>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</si>
  <si>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</si>
  <si>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</si>
  <si>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</si>
  <si>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</si>
  <si>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</si>
  <si>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</si>
  <si>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</si>
  <si>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</si>
  <si>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</si>
  <si>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</si>
  <si>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</si>
  <si>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</si>
  <si>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</si>
  <si>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</si>
  <si>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</si>
  <si>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</si>
  <si>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</si>
  <si>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</si>
  <si>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</si>
  <si>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</si>
  <si>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</si>
  <si>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</si>
  <si>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</si>
  <si>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</si>
  <si>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</si>
  <si>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</si>
  <si>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</si>
  <si>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</si>
  <si>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</si>
  <si>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</si>
  <si>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</si>
  <si>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</si>
  <si>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</si>
  <si>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</si>
  <si>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</si>
  <si>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</si>
  <si>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</si>
  <si>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</si>
  <si>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</si>
  <si>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</si>
  <si>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</si>
  <si>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</si>
  <si>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</si>
  <si>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</si>
  <si>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</si>
  <si>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</si>
  <si>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</si>
  <si>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</si>
  <si>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</si>
  <si>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</si>
  <si>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</si>
  <si>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</si>
  <si>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</si>
  <si>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</si>
  <si>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</si>
  <si>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</si>
  <si>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</si>
  <si>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</si>
  <si>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</si>
  <si>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</si>
  <si>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</si>
  <si>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</si>
  <si>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</si>
  <si>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</si>
  <si>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</si>
  <si>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</si>
  <si>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</si>
  <si>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</si>
  <si>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</si>
  <si>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</si>
  <si>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</si>
  <si>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</si>
  <si>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</si>
  <si>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</si>
  <si>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</si>
  <si>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</si>
  <si>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</si>
  <si>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</si>
  <si>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</si>
  <si>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</si>
  <si>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</si>
  <si>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</si>
  <si>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</si>
  <si>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</si>
  <si>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</si>
  <si>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</si>
  <si>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</si>
  <si>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</si>
  <si>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</si>
  <si>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</si>
  <si>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</si>
  <si>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</si>
  <si>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</si>
  <si>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</si>
  <si>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</si>
  <si>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</si>
  <si>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</si>
  <si>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</si>
  <si>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</si>
  <si>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</si>
  <si>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</si>
  <si>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</si>
  <si>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</si>
  <si>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</si>
  <si>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</si>
  <si>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</si>
  <si>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</si>
  <si>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</si>
  <si>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</si>
  <si>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</si>
  <si>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</si>
  <si>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</si>
  <si>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</si>
  <si>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</si>
  <si>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</si>
  <si>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</si>
  <si>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</si>
  <si>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</si>
  <si>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</si>
  <si>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</si>
  <si>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</si>
  <si>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</si>
  <si>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</si>
  <si>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</si>
  <si>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</si>
  <si>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</si>
  <si>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</si>
  <si>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</si>
  <si>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</si>
  <si>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</si>
  <si>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</si>
  <si>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</si>
  <si>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</si>
  <si>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</si>
  <si>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</si>
  <si>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</si>
  <si>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</si>
  <si>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</si>
  <si>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</si>
  <si>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</si>
  <si>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</si>
  <si>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</si>
  <si>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</si>
  <si>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</si>
  <si>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</si>
  <si>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</si>
  <si>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</si>
  <si>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</si>
  <si>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</si>
  <si>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</si>
  <si>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</si>
  <si>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</si>
  <si>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</si>
  <si>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</si>
  <si>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</si>
  <si>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</si>
  <si>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</si>
  <si>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</si>
  <si>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</si>
  <si>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</si>
  <si>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</si>
  <si>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</si>
  <si>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</si>
  <si>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</si>
  <si>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</si>
  <si>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</si>
  <si>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</si>
  <si>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</si>
  <si>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</si>
  <si>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</si>
  <si>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</si>
  <si>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</si>
  <si>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</si>
  <si>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</si>
  <si>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</si>
  <si>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</si>
  <si>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</si>
  <si>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</si>
  <si>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</si>
  <si>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</si>
  <si>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</si>
  <si>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</si>
  <si>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</si>
  <si>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</si>
  <si>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</si>
  <si>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</si>
  <si>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</si>
  <si>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</si>
  <si>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</si>
  <si>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</si>
  <si>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</si>
  <si>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</si>
  <si>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</si>
  <si>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</si>
  <si>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</si>
  <si>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</si>
  <si>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</si>
  <si>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</si>
  <si>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</si>
  <si>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</si>
  <si>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</si>
  <si>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</si>
  <si>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</si>
  <si>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</si>
  <si>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</si>
  <si>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</si>
  <si>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</si>
  <si>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</si>
  <si>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</si>
  <si>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</si>
  <si>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</si>
  <si>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</si>
  <si>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</si>
  <si>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</si>
  <si>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</si>
  <si>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</si>
  <si>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</si>
  <si>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</si>
  <si>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</si>
  <si>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</si>
  <si>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</si>
  <si>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</si>
  <si>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</si>
  <si>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</si>
  <si>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</si>
  <si>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</si>
  <si>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</si>
  <si>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</si>
  <si>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</si>
  <si>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</si>
  <si>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</si>
  <si>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</si>
  <si>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</si>
  <si>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</si>
  <si>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</si>
  <si>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</si>
  <si>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</si>
  <si>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</si>
  <si>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</si>
  <si>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</si>
  <si>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</si>
  <si>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</si>
  <si>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</si>
  <si>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</si>
  <si>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</si>
  <si>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</si>
  <si>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</si>
  <si>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</si>
  <si>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</si>
  <si>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</si>
  <si>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</si>
  <si>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</si>
  <si>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</si>
  <si>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</si>
  <si>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</si>
  <si>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</si>
  <si>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</si>
  <si>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</si>
  <si>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</si>
  <si>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</si>
  <si>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</si>
  <si>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</si>
  <si>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</si>
  <si>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</si>
  <si>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</si>
  <si>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</si>
  <si>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</si>
  <si>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</si>
  <si>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</si>
  <si>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</si>
  <si>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</si>
  <si>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</si>
  <si>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</si>
  <si>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</si>
  <si>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</si>
  <si>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</si>
  <si>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</si>
  <si>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</si>
  <si>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</si>
  <si>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</si>
  <si>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</si>
  <si>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</si>
  <si>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</si>
  <si>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</si>
  <si>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</si>
  <si>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</si>
  <si>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</si>
  <si>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</si>
  <si>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</si>
  <si>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</si>
  <si>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</si>
  <si>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</si>
  <si>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</si>
  <si>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</si>
  <si>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</si>
  <si>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</si>
  <si>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</si>
  <si>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</si>
  <si>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</si>
  <si>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</si>
  <si>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</si>
  <si>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</si>
  <si>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</si>
  <si>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</si>
  <si>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</si>
  <si>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</si>
  <si>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</si>
  <si>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</si>
  <si>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</si>
  <si>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</si>
  <si>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</si>
  <si>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</si>
  <si>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</si>
  <si>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</si>
  <si>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</si>
  <si>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</si>
  <si>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</si>
  <si>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</si>
  <si>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</si>
  <si>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</si>
  <si>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</si>
  <si>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</si>
  <si>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</si>
  <si>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</si>
  <si>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</si>
  <si>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</si>
  <si>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</si>
  <si>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</si>
  <si>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</si>
  <si>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</si>
  <si>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</si>
  <si>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</si>
  <si>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</si>
  <si>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</si>
  <si>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</si>
  <si>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</si>
  <si>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</si>
  <si>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</si>
  <si>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</si>
  <si>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</si>
  <si>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</si>
  <si>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</si>
  <si>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</si>
  <si>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</si>
  <si>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</si>
  <si>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</si>
  <si>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</si>
  <si>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</si>
  <si>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</si>
  <si>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</si>
  <si>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</si>
  <si>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</si>
  <si>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</si>
  <si>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</si>
  <si>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</si>
  <si>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</si>
  <si>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</si>
  <si>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</si>
  <si>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</si>
  <si>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</si>
  <si>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</si>
  <si>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</si>
  <si>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</si>
  <si>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</si>
  <si>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</si>
  <si>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</si>
  <si>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</si>
  <si>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</si>
  <si>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</si>
  <si>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</si>
  <si>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</si>
  <si>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</si>
  <si>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</si>
  <si>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</si>
  <si>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</si>
  <si>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</si>
  <si>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</si>
  <si>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</si>
  <si>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</si>
  <si>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</si>
  <si>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</si>
  <si>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</si>
  <si>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</si>
  <si>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</si>
  <si>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</si>
  <si>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</si>
  <si>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</si>
  <si>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</si>
  <si>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</si>
  <si>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</si>
  <si>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</si>
  <si>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</si>
  <si>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</si>
  <si>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</si>
  <si>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</si>
  <si>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</si>
  <si>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</si>
  <si>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</si>
  <si>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</si>
  <si>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</si>
  <si>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</si>
  <si>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</si>
  <si>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</si>
  <si>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</si>
  <si>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</si>
  <si>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</si>
  <si>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</si>
  <si>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</si>
  <si>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</si>
  <si>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</si>
  <si>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</si>
  <si>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</si>
  <si>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</si>
  <si>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</si>
  <si>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</si>
  <si>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</si>
  <si>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</si>
  <si>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</si>
  <si>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</si>
  <si>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</si>
  <si>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</si>
  <si>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</si>
  <si>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</si>
  <si>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</si>
  <si>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</si>
  <si>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</si>
  <si>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</si>
  <si>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</si>
  <si>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</si>
  <si>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</si>
  <si>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</si>
  <si>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</si>
  <si>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</si>
  <si>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</si>
  <si>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</si>
  <si>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</si>
  <si>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</si>
  <si>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</si>
  <si>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</si>
  <si>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</si>
  <si>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</si>
  <si>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</si>
  <si>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</si>
  <si>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</si>
  <si>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</si>
  <si>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</si>
  <si>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</si>
  <si>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</si>
  <si>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</si>
  <si>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</si>
  <si>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</si>
  <si>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</si>
  <si>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</si>
  <si>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</si>
  <si>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</si>
  <si>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</si>
  <si>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</si>
  <si>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</si>
  <si>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</si>
  <si>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</si>
  <si>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</si>
  <si>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</si>
  <si>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</si>
  <si>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</si>
  <si>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</si>
  <si>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</si>
  <si>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</si>
  <si>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</si>
  <si>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</si>
  <si>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</si>
  <si>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</si>
  <si>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</si>
  <si>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</si>
  <si>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</si>
  <si>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</si>
  <si>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</si>
  <si>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</si>
  <si>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</si>
  <si>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</si>
  <si>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</si>
  <si>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</si>
  <si>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</si>
  <si>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</si>
  <si>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</si>
  <si>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</si>
  <si>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</si>
  <si>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</si>
  <si>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</si>
  <si>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</si>
  <si>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</si>
  <si>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</si>
  <si>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</si>
  <si>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</si>
  <si>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</si>
  <si>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</si>
  <si>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</si>
  <si>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</si>
  <si>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</si>
  <si>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</si>
  <si>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</si>
  <si>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</si>
  <si>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</si>
  <si>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</si>
  <si>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</si>
  <si>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</si>
  <si>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</si>
  <si>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</si>
  <si>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</si>
  <si>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</si>
  <si>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</si>
  <si>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</si>
  <si>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</si>
  <si>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</si>
  <si>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</si>
  <si>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</si>
  <si>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</si>
  <si>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</si>
  <si>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</si>
  <si>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</si>
  <si>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</si>
  <si>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</si>
  <si>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</si>
  <si>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</si>
  <si>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</si>
  <si>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</si>
  <si>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</si>
  <si>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</si>
  <si>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</si>
  <si>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</si>
  <si>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</si>
  <si>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</si>
  <si>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</si>
  <si>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</si>
  <si>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</si>
  <si>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</si>
  <si>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</si>
  <si>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</si>
  <si>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</si>
  <si>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</si>
  <si>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</si>
  <si>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</si>
  <si>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</si>
  <si>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</si>
  <si>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</si>
  <si>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</si>
  <si>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</si>
  <si>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</si>
  <si>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</si>
  <si>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</si>
  <si>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</si>
  <si>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</si>
  <si>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</si>
  <si>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</si>
  <si>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</si>
  <si>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</si>
  <si>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</si>
  <si>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</si>
  <si>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</si>
  <si>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</si>
  <si>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</si>
  <si>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</si>
  <si>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</si>
  <si>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</si>
  <si>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</si>
  <si>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</si>
  <si>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</si>
  <si>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</si>
  <si>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</si>
  <si>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</si>
  <si>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</si>
  <si>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</si>
  <si>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</si>
  <si>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</si>
  <si>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</si>
  <si>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</si>
  <si>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</si>
  <si>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</si>
  <si>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</si>
  <si>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</si>
  <si>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</si>
  <si>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</si>
  <si>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</si>
  <si>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</si>
  <si>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</si>
  <si>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</si>
  <si>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</si>
  <si>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</si>
  <si>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</si>
  <si>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</si>
  <si>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</si>
  <si>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</si>
  <si>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</si>
  <si>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</si>
  <si>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</si>
  <si>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</si>
  <si>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</si>
  <si>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</si>
  <si>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</si>
  <si>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</si>
  <si>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</si>
  <si>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</si>
  <si>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</si>
  <si>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</si>
  <si>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</si>
  <si>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</si>
  <si>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</si>
  <si>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</si>
  <si>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</si>
  <si>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</si>
  <si>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</si>
  <si>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</si>
  <si>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</si>
  <si>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</si>
  <si>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</si>
  <si>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</si>
  <si>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</si>
  <si>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</si>
  <si>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</si>
  <si>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</si>
  <si>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</si>
  <si>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</si>
  <si>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</si>
  <si>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</si>
  <si>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</si>
  <si>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</si>
  <si>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</si>
  <si>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</si>
  <si>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</si>
  <si>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</si>
  <si>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</si>
  <si>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</si>
  <si>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</si>
  <si>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</si>
  <si>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</si>
  <si>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</si>
  <si>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</si>
  <si>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</si>
  <si>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</si>
  <si>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</si>
  <si>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</si>
  <si>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</si>
  <si>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</si>
  <si>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</si>
  <si>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</si>
  <si>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</si>
  <si>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</si>
  <si>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</si>
  <si>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</si>
  <si>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</si>
  <si>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</si>
  <si>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</si>
  <si>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</si>
  <si>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</si>
  <si>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</si>
  <si>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</si>
  <si>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</si>
  <si>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</si>
  <si>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</si>
  <si>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41002</t>
  </si>
  <si>
    <t>AALST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</si>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</sst>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638204.77865661308</c:v>
                </c:pt>
                <c:pt idx="1">
                  <c:v>267873.28041317826</c:v>
                </c:pt>
                <c:pt idx="2">
                  <c:v>4343.5429999999997</c:v>
                </c:pt>
                <c:pt idx="3">
                  <c:v>7893.6458435484747</c:v>
                </c:pt>
                <c:pt idx="4">
                  <c:v>314564.50986623351</c:v>
                </c:pt>
                <c:pt idx="5">
                  <c:v>604956.73211460107</c:v>
                </c:pt>
                <c:pt idx="6">
                  <c:v>11199.525217781833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638204.77865661308</c:v>
                </c:pt>
                <c:pt idx="1">
                  <c:v>267873.28041317826</c:v>
                </c:pt>
                <c:pt idx="2">
                  <c:v>4343.5429999999997</c:v>
                </c:pt>
                <c:pt idx="3">
                  <c:v>7893.6458435484747</c:v>
                </c:pt>
                <c:pt idx="4">
                  <c:v>314564.50986623351</c:v>
                </c:pt>
                <c:pt idx="5">
                  <c:v>604956.73211460107</c:v>
                </c:pt>
                <c:pt idx="6">
                  <c:v>11199.525217781833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126685.71801682856</c:v>
                </c:pt>
                <c:pt idx="2">
                  <c:v>54625.384791604316</c:v>
                </c:pt>
                <c:pt idx="3">
                  <c:v>906.52515418994255</c:v>
                </c:pt>
                <c:pt idx="4">
                  <c:v>1960.7082959259778</c:v>
                </c:pt>
                <c:pt idx="5">
                  <c:v>65559.235776936577</c:v>
                </c:pt>
                <c:pt idx="6">
                  <c:v>151683.29936876163</c:v>
                </c:pt>
                <c:pt idx="7">
                  <c:v>2828.5991170468028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126685.71801682856</c:v>
                </c:pt>
                <c:pt idx="2">
                  <c:v>54625.384791604316</c:v>
                </c:pt>
                <c:pt idx="3">
                  <c:v>906.52515418994255</c:v>
                </c:pt>
                <c:pt idx="4">
                  <c:v>1960.7082959259778</c:v>
                </c:pt>
                <c:pt idx="5">
                  <c:v>65559.235776936577</c:v>
                </c:pt>
                <c:pt idx="6">
                  <c:v>151683.29936876163</c:v>
                </c:pt>
                <c:pt idx="7">
                  <c:v>2828.5991170468028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41002</v>
      </c>
      <c r="B6" s="391"/>
      <c r="C6" s="392"/>
    </row>
    <row r="7" spans="1:7" s="389" customFormat="1" ht="15.75" customHeight="1">
      <c r="A7" s="393" t="str">
        <f>txtMunicipality</f>
        <v>AALST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0.20870638420983575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0.20870638420983575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37032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2536</v>
      </c>
      <c r="C14" s="330"/>
      <c r="D14" s="330"/>
      <c r="E14" s="330"/>
      <c r="F14" s="330"/>
    </row>
    <row r="15" spans="1:6">
      <c r="A15" s="1305" t="s">
        <v>183</v>
      </c>
      <c r="B15" s="1306">
        <v>11</v>
      </c>
      <c r="C15" s="330"/>
      <c r="D15" s="330"/>
      <c r="E15" s="330"/>
      <c r="F15" s="330"/>
    </row>
    <row r="16" spans="1:6">
      <c r="A16" s="1305" t="s">
        <v>6</v>
      </c>
      <c r="B16" s="1306">
        <v>522</v>
      </c>
      <c r="C16" s="330"/>
      <c r="D16" s="330"/>
      <c r="E16" s="330"/>
      <c r="F16" s="330"/>
    </row>
    <row r="17" spans="1:6">
      <c r="A17" s="1305" t="s">
        <v>7</v>
      </c>
      <c r="B17" s="1306">
        <v>258</v>
      </c>
      <c r="C17" s="330"/>
      <c r="D17" s="330"/>
      <c r="E17" s="330"/>
      <c r="F17" s="330"/>
    </row>
    <row r="18" spans="1:6">
      <c r="A18" s="1305" t="s">
        <v>8</v>
      </c>
      <c r="B18" s="1306">
        <v>458</v>
      </c>
      <c r="C18" s="330"/>
      <c r="D18" s="330"/>
      <c r="E18" s="330"/>
      <c r="F18" s="330"/>
    </row>
    <row r="19" spans="1:6">
      <c r="A19" s="1305" t="s">
        <v>9</v>
      </c>
      <c r="B19" s="1306">
        <v>424</v>
      </c>
      <c r="C19" s="330"/>
      <c r="D19" s="330"/>
      <c r="E19" s="330"/>
      <c r="F19" s="330"/>
    </row>
    <row r="20" spans="1:6">
      <c r="A20" s="1305" t="s">
        <v>10</v>
      </c>
      <c r="B20" s="1306">
        <v>313</v>
      </c>
      <c r="C20" s="330"/>
      <c r="D20" s="330"/>
      <c r="E20" s="330"/>
      <c r="F20" s="330"/>
    </row>
    <row r="21" spans="1:6">
      <c r="A21" s="1305" t="s">
        <v>11</v>
      </c>
      <c r="B21" s="1306">
        <v>1108</v>
      </c>
      <c r="C21" s="330"/>
      <c r="D21" s="330"/>
      <c r="E21" s="330"/>
      <c r="F21" s="330"/>
    </row>
    <row r="22" spans="1:6">
      <c r="A22" s="1305" t="s">
        <v>12</v>
      </c>
      <c r="B22" s="1306">
        <v>2613</v>
      </c>
      <c r="C22" s="330"/>
      <c r="D22" s="330"/>
      <c r="E22" s="330"/>
      <c r="F22" s="330"/>
    </row>
    <row r="23" spans="1:6">
      <c r="A23" s="1305" t="s">
        <v>13</v>
      </c>
      <c r="B23" s="1306">
        <v>40</v>
      </c>
      <c r="C23" s="330"/>
      <c r="D23" s="330"/>
      <c r="E23" s="330"/>
      <c r="F23" s="330"/>
    </row>
    <row r="24" spans="1:6">
      <c r="A24" s="1305" t="s">
        <v>14</v>
      </c>
      <c r="B24" s="1306">
        <v>1</v>
      </c>
      <c r="C24" s="330"/>
      <c r="D24" s="330"/>
      <c r="E24" s="330"/>
      <c r="F24" s="330"/>
    </row>
    <row r="25" spans="1:6">
      <c r="A25" s="1305" t="s">
        <v>15</v>
      </c>
      <c r="B25" s="1306">
        <v>204</v>
      </c>
      <c r="C25" s="330"/>
      <c r="D25" s="330"/>
      <c r="E25" s="330"/>
      <c r="F25" s="330"/>
    </row>
    <row r="26" spans="1:6">
      <c r="A26" s="1305" t="s">
        <v>16</v>
      </c>
      <c r="B26" s="1306">
        <v>160</v>
      </c>
      <c r="C26" s="330"/>
      <c r="D26" s="330"/>
      <c r="E26" s="330"/>
      <c r="F26" s="330"/>
    </row>
    <row r="27" spans="1:6">
      <c r="A27" s="1305" t="s">
        <v>17</v>
      </c>
      <c r="B27" s="1306">
        <v>8</v>
      </c>
      <c r="C27" s="330"/>
      <c r="D27" s="330"/>
      <c r="E27" s="330"/>
      <c r="F27" s="330"/>
    </row>
    <row r="28" spans="1:6" s="43" customFormat="1">
      <c r="A28" s="1307" t="s">
        <v>18</v>
      </c>
      <c r="B28" s="1308">
        <v>92263</v>
      </c>
      <c r="C28" s="336"/>
      <c r="D28" s="336"/>
      <c r="E28" s="336"/>
      <c r="F28" s="336"/>
    </row>
    <row r="29" spans="1:6">
      <c r="A29" s="1307" t="s">
        <v>909</v>
      </c>
      <c r="B29" s="1308">
        <v>228</v>
      </c>
      <c r="C29" s="336"/>
      <c r="D29" s="336"/>
      <c r="E29" s="336"/>
      <c r="F29" s="336"/>
    </row>
    <row r="30" spans="1:6">
      <c r="A30" s="1300" t="s">
        <v>910</v>
      </c>
      <c r="B30" s="1309">
        <v>19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14</v>
      </c>
      <c r="D36" s="1306">
        <v>3049626.7884209501</v>
      </c>
      <c r="E36" s="1306">
        <v>12</v>
      </c>
      <c r="F36" s="1306">
        <v>2294700</v>
      </c>
    </row>
    <row r="37" spans="1:6">
      <c r="A37" s="1305" t="s">
        <v>24</v>
      </c>
      <c r="B37" s="1305" t="s">
        <v>27</v>
      </c>
      <c r="C37" s="1306">
        <v>0</v>
      </c>
      <c r="D37" s="1306">
        <v>0</v>
      </c>
      <c r="E37" s="1306">
        <v>0</v>
      </c>
      <c r="F37" s="1306">
        <v>0</v>
      </c>
    </row>
    <row r="38" spans="1:6">
      <c r="A38" s="1305" t="s">
        <v>24</v>
      </c>
      <c r="B38" s="1305" t="s">
        <v>28</v>
      </c>
      <c r="C38" s="1306">
        <v>3</v>
      </c>
      <c r="D38" s="1306">
        <v>341553.92077873898</v>
      </c>
      <c r="E38" s="1306">
        <v>7</v>
      </c>
      <c r="F38" s="1306">
        <v>38379.17</v>
      </c>
    </row>
    <row r="39" spans="1:6">
      <c r="A39" s="1305" t="s">
        <v>29</v>
      </c>
      <c r="B39" s="1305" t="s">
        <v>30</v>
      </c>
      <c r="C39" s="1306">
        <v>24974</v>
      </c>
      <c r="D39" s="1306">
        <v>351620549.58590603</v>
      </c>
      <c r="E39" s="1306">
        <v>37174</v>
      </c>
      <c r="F39" s="1306">
        <v>138000000</v>
      </c>
    </row>
    <row r="40" spans="1:6">
      <c r="A40" s="1305" t="s">
        <v>29</v>
      </c>
      <c r="B40" s="1305" t="s">
        <v>28</v>
      </c>
      <c r="C40" s="1306">
        <v>0</v>
      </c>
      <c r="D40" s="1306">
        <v>0</v>
      </c>
      <c r="E40" s="1306">
        <v>1</v>
      </c>
      <c r="F40" s="1306">
        <v>5815.3630000000003</v>
      </c>
    </row>
    <row r="41" spans="1:6">
      <c r="A41" s="1305" t="s">
        <v>31</v>
      </c>
      <c r="B41" s="1305" t="s">
        <v>32</v>
      </c>
      <c r="C41" s="1306">
        <v>256</v>
      </c>
      <c r="D41" s="1306">
        <v>11420972.121099699</v>
      </c>
      <c r="E41" s="1306">
        <v>577</v>
      </c>
      <c r="F41" s="1306">
        <v>20809411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135444.12109012</v>
      </c>
      <c r="E44" s="1306">
        <v>38</v>
      </c>
      <c r="F44" s="1306">
        <v>2441971</v>
      </c>
    </row>
    <row r="45" spans="1:6">
      <c r="A45" s="1305" t="s">
        <v>31</v>
      </c>
      <c r="B45" s="1305" t="s">
        <v>36</v>
      </c>
      <c r="C45" s="1306">
        <v>3</v>
      </c>
      <c r="D45" s="1306">
        <v>158067.996071901</v>
      </c>
      <c r="E45" s="1306">
        <v>4</v>
      </c>
      <c r="F45" s="1306">
        <v>176636.2</v>
      </c>
    </row>
    <row r="46" spans="1:6">
      <c r="A46" s="1305" t="s">
        <v>31</v>
      </c>
      <c r="B46" s="1305" t="s">
        <v>37</v>
      </c>
      <c r="C46" s="1306">
        <v>0</v>
      </c>
      <c r="D46" s="1306">
        <v>0</v>
      </c>
      <c r="E46" s="1306">
        <v>0</v>
      </c>
      <c r="F46" s="1306">
        <v>0</v>
      </c>
    </row>
    <row r="47" spans="1:6">
      <c r="A47" s="1305" t="s">
        <v>31</v>
      </c>
      <c r="B47" s="1305" t="s">
        <v>38</v>
      </c>
      <c r="C47" s="1306">
        <v>10</v>
      </c>
      <c r="D47" s="1306">
        <v>122329.09470362301</v>
      </c>
      <c r="E47" s="1306">
        <v>10</v>
      </c>
      <c r="F47" s="1306">
        <v>55184.13</v>
      </c>
    </row>
    <row r="48" spans="1:6">
      <c r="A48" s="1305" t="s">
        <v>31</v>
      </c>
      <c r="B48" s="1305" t="s">
        <v>28</v>
      </c>
      <c r="C48" s="1306">
        <v>94</v>
      </c>
      <c r="D48" s="1306">
        <v>44898375.036984302</v>
      </c>
      <c r="E48" s="1306">
        <v>135</v>
      </c>
      <c r="F48" s="1306">
        <v>56671881</v>
      </c>
    </row>
    <row r="49" spans="1:6">
      <c r="A49" s="1305" t="s">
        <v>31</v>
      </c>
      <c r="B49" s="1305" t="s">
        <v>39</v>
      </c>
      <c r="C49" s="1306">
        <v>4</v>
      </c>
      <c r="D49" s="1306">
        <v>34797.591710657602</v>
      </c>
      <c r="E49" s="1306">
        <v>7</v>
      </c>
      <c r="F49" s="1306">
        <v>60106.44</v>
      </c>
    </row>
    <row r="50" spans="1:6">
      <c r="A50" s="1305" t="s">
        <v>31</v>
      </c>
      <c r="B50" s="1305" t="s">
        <v>40</v>
      </c>
      <c r="C50" s="1306">
        <v>39</v>
      </c>
      <c r="D50" s="1306">
        <v>119497995.299136</v>
      </c>
      <c r="E50" s="1306">
        <v>68</v>
      </c>
      <c r="F50" s="1306">
        <v>9137825</v>
      </c>
    </row>
    <row r="51" spans="1:6">
      <c r="A51" s="1305" t="s">
        <v>41</v>
      </c>
      <c r="B51" s="1305" t="s">
        <v>42</v>
      </c>
      <c r="C51" s="1306">
        <v>16</v>
      </c>
      <c r="D51" s="1306">
        <v>570365.84855450096</v>
      </c>
      <c r="E51" s="1306">
        <v>121</v>
      </c>
      <c r="F51" s="1306">
        <v>1157060</v>
      </c>
    </row>
    <row r="52" spans="1:6">
      <c r="A52" s="1305" t="s">
        <v>41</v>
      </c>
      <c r="B52" s="1305" t="s">
        <v>28</v>
      </c>
      <c r="C52" s="1306">
        <v>14</v>
      </c>
      <c r="D52" s="1306">
        <v>484490.77197893203</v>
      </c>
      <c r="E52" s="1306">
        <v>18</v>
      </c>
      <c r="F52" s="1306">
        <v>719320.5</v>
      </c>
    </row>
    <row r="53" spans="1:6">
      <c r="A53" s="1305" t="s">
        <v>43</v>
      </c>
      <c r="B53" s="1305" t="s">
        <v>44</v>
      </c>
      <c r="C53" s="1306">
        <v>758</v>
      </c>
      <c r="D53" s="1306">
        <v>36802345.643751703</v>
      </c>
      <c r="E53" s="1306">
        <v>1413</v>
      </c>
      <c r="F53" s="1306">
        <v>22839172</v>
      </c>
    </row>
    <row r="54" spans="1:6">
      <c r="A54" s="1305" t="s">
        <v>45</v>
      </c>
      <c r="B54" s="1305" t="s">
        <v>46</v>
      </c>
      <c r="C54" s="1306">
        <v>0</v>
      </c>
      <c r="D54" s="1306">
        <v>0</v>
      </c>
      <c r="E54" s="1306">
        <v>1</v>
      </c>
      <c r="F54" s="1306">
        <v>4343543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259</v>
      </c>
      <c r="D57" s="1306">
        <v>13776453.722552</v>
      </c>
      <c r="E57" s="1306">
        <v>376</v>
      </c>
      <c r="F57" s="1306">
        <v>5432524</v>
      </c>
    </row>
    <row r="58" spans="1:6">
      <c r="A58" s="1305" t="s">
        <v>48</v>
      </c>
      <c r="B58" s="1305" t="s">
        <v>50</v>
      </c>
      <c r="C58" s="1306">
        <v>128</v>
      </c>
      <c r="D58" s="1306">
        <v>6519066.3259698404</v>
      </c>
      <c r="E58" s="1306">
        <v>198</v>
      </c>
      <c r="F58" s="1306">
        <v>2606238</v>
      </c>
    </row>
    <row r="59" spans="1:6">
      <c r="A59" s="1305" t="s">
        <v>48</v>
      </c>
      <c r="B59" s="1305" t="s">
        <v>51</v>
      </c>
      <c r="C59" s="1306">
        <v>733</v>
      </c>
      <c r="D59" s="1306">
        <v>40535548.644266397</v>
      </c>
      <c r="E59" s="1306">
        <v>1501</v>
      </c>
      <c r="F59" s="1306">
        <v>44778805</v>
      </c>
    </row>
    <row r="60" spans="1:6">
      <c r="A60" s="1305" t="s">
        <v>48</v>
      </c>
      <c r="B60" s="1305" t="s">
        <v>52</v>
      </c>
      <c r="C60" s="1306">
        <v>338</v>
      </c>
      <c r="D60" s="1306">
        <v>17578083.230251301</v>
      </c>
      <c r="E60" s="1306">
        <v>405</v>
      </c>
      <c r="F60" s="1306">
        <v>9988745</v>
      </c>
    </row>
    <row r="61" spans="1:6">
      <c r="A61" s="1305" t="s">
        <v>48</v>
      </c>
      <c r="B61" s="1305" t="s">
        <v>53</v>
      </c>
      <c r="C61" s="1306">
        <v>700</v>
      </c>
      <c r="D61" s="1306">
        <v>33038324.4744826</v>
      </c>
      <c r="E61" s="1306">
        <v>1610</v>
      </c>
      <c r="F61" s="1306">
        <v>21401008</v>
      </c>
    </row>
    <row r="62" spans="1:6">
      <c r="A62" s="1305" t="s">
        <v>48</v>
      </c>
      <c r="B62" s="1305" t="s">
        <v>54</v>
      </c>
      <c r="C62" s="1306">
        <v>53</v>
      </c>
      <c r="D62" s="1306">
        <v>7462040.0822311696</v>
      </c>
      <c r="E62" s="1306">
        <v>75</v>
      </c>
      <c r="F62" s="1306">
        <v>3910627</v>
      </c>
    </row>
    <row r="63" spans="1:6">
      <c r="A63" s="1305" t="s">
        <v>48</v>
      </c>
      <c r="B63" s="1305" t="s">
        <v>28</v>
      </c>
      <c r="C63" s="1306">
        <v>320</v>
      </c>
      <c r="D63" s="1306">
        <v>28431851.138941798</v>
      </c>
      <c r="E63" s="1306">
        <v>343</v>
      </c>
      <c r="F63" s="1306">
        <v>22850210</v>
      </c>
    </row>
    <row r="64" spans="1:6">
      <c r="A64" s="1305" t="s">
        <v>55</v>
      </c>
      <c r="B64" s="1305" t="s">
        <v>56</v>
      </c>
      <c r="C64" s="1306">
        <v>0</v>
      </c>
      <c r="D64" s="1306">
        <v>0</v>
      </c>
      <c r="E64" s="1306">
        <v>0</v>
      </c>
      <c r="F64" s="1306">
        <v>0</v>
      </c>
    </row>
    <row r="65" spans="1:6">
      <c r="A65" s="1305" t="s">
        <v>55</v>
      </c>
      <c r="B65" s="1305" t="s">
        <v>28</v>
      </c>
      <c r="C65" s="1306">
        <v>11</v>
      </c>
      <c r="D65" s="1306">
        <v>505487.67166711402</v>
      </c>
      <c r="E65" s="1306">
        <v>7</v>
      </c>
      <c r="F65" s="1306">
        <v>151015.1</v>
      </c>
    </row>
    <row r="66" spans="1:6">
      <c r="A66" s="1305" t="s">
        <v>55</v>
      </c>
      <c r="B66" s="1305" t="s">
        <v>57</v>
      </c>
      <c r="C66" s="1306">
        <v>0</v>
      </c>
      <c r="D66" s="1306">
        <v>0</v>
      </c>
      <c r="E66" s="1306">
        <v>32</v>
      </c>
      <c r="F66" s="1306">
        <v>1402485</v>
      </c>
    </row>
    <row r="67" spans="1:6">
      <c r="A67" s="1307" t="s">
        <v>55</v>
      </c>
      <c r="B67" s="1307" t="s">
        <v>58</v>
      </c>
      <c r="C67" s="1306">
        <v>0</v>
      </c>
      <c r="D67" s="1306">
        <v>0</v>
      </c>
      <c r="E67" s="1306">
        <v>0</v>
      </c>
      <c r="F67" s="1306">
        <v>0</v>
      </c>
    </row>
    <row r="68" spans="1:6">
      <c r="A68" s="1300" t="s">
        <v>55</v>
      </c>
      <c r="B68" s="1300" t="s">
        <v>59</v>
      </c>
      <c r="C68" s="1309">
        <v>4</v>
      </c>
      <c r="D68" s="1309">
        <v>197297.14715827501</v>
      </c>
      <c r="E68" s="1309">
        <v>25</v>
      </c>
      <c r="F68" s="1309">
        <v>600741.4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192969603</v>
      </c>
      <c r="E73" s="450"/>
      <c r="F73" s="330"/>
    </row>
    <row r="74" spans="1:6">
      <c r="A74" s="1305" t="s">
        <v>63</v>
      </c>
      <c r="B74" s="1305" t="s">
        <v>710</v>
      </c>
      <c r="C74" s="1319" t="s">
        <v>712</v>
      </c>
      <c r="D74" s="1320">
        <v>20089827.211274281</v>
      </c>
      <c r="E74" s="450"/>
      <c r="F74" s="330"/>
    </row>
    <row r="75" spans="1:6">
      <c r="A75" s="1305" t="s">
        <v>64</v>
      </c>
      <c r="B75" s="1305" t="s">
        <v>709</v>
      </c>
      <c r="C75" s="1319" t="s">
        <v>713</v>
      </c>
      <c r="D75" s="1320">
        <v>128518702</v>
      </c>
      <c r="E75" s="450"/>
      <c r="F75" s="330"/>
    </row>
    <row r="76" spans="1:6">
      <c r="A76" s="1305" t="s">
        <v>64</v>
      </c>
      <c r="B76" s="1305" t="s">
        <v>710</v>
      </c>
      <c r="C76" s="1319" t="s">
        <v>714</v>
      </c>
      <c r="D76" s="1320">
        <v>9170706.2112742811</v>
      </c>
      <c r="E76" s="450"/>
      <c r="F76" s="330"/>
    </row>
    <row r="77" spans="1:6">
      <c r="A77" s="1305" t="s">
        <v>65</v>
      </c>
      <c r="B77" s="1305" t="s">
        <v>709</v>
      </c>
      <c r="C77" s="1319" t="s">
        <v>715</v>
      </c>
      <c r="D77" s="1320">
        <v>281892714</v>
      </c>
      <c r="E77" s="450"/>
      <c r="F77" s="330"/>
    </row>
    <row r="78" spans="1:6">
      <c r="A78" s="1300" t="s">
        <v>65</v>
      </c>
      <c r="B78" s="1300" t="s">
        <v>710</v>
      </c>
      <c r="C78" s="1300" t="s">
        <v>716</v>
      </c>
      <c r="D78" s="1321">
        <v>34595170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3007075.5774514396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11257.442899169515</v>
      </c>
      <c r="C91" s="330"/>
      <c r="D91" s="330"/>
      <c r="E91" s="330"/>
      <c r="F91" s="330"/>
    </row>
    <row r="92" spans="1:6">
      <c r="A92" s="1300" t="s">
        <v>68</v>
      </c>
      <c r="B92" s="1301">
        <v>9809.2416279821027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15443</v>
      </c>
      <c r="C97" s="330"/>
      <c r="D97" s="330"/>
      <c r="E97" s="330"/>
      <c r="F97" s="330"/>
    </row>
    <row r="98" spans="1:6">
      <c r="A98" s="1305" t="s">
        <v>71</v>
      </c>
      <c r="B98" s="1306">
        <v>386</v>
      </c>
      <c r="C98" s="330"/>
      <c r="D98" s="330"/>
      <c r="E98" s="330"/>
      <c r="F98" s="330"/>
    </row>
    <row r="99" spans="1:6">
      <c r="A99" s="1305" t="s">
        <v>72</v>
      </c>
      <c r="B99" s="1306">
        <v>323</v>
      </c>
      <c r="C99" s="330"/>
      <c r="D99" s="330"/>
      <c r="E99" s="330"/>
      <c r="F99" s="330"/>
    </row>
    <row r="100" spans="1:6">
      <c r="A100" s="1305" t="s">
        <v>73</v>
      </c>
      <c r="B100" s="1306">
        <v>2629</v>
      </c>
      <c r="C100" s="330"/>
      <c r="D100" s="330"/>
      <c r="E100" s="330"/>
      <c r="F100" s="330"/>
    </row>
    <row r="101" spans="1:6">
      <c r="A101" s="1305" t="s">
        <v>74</v>
      </c>
      <c r="B101" s="1306">
        <v>231</v>
      </c>
      <c r="C101" s="330"/>
      <c r="D101" s="330"/>
      <c r="E101" s="330"/>
      <c r="F101" s="330"/>
    </row>
    <row r="102" spans="1:6">
      <c r="A102" s="1305" t="s">
        <v>75</v>
      </c>
      <c r="B102" s="1306">
        <v>1339</v>
      </c>
      <c r="C102" s="330"/>
      <c r="D102" s="330"/>
      <c r="E102" s="330"/>
      <c r="F102" s="330"/>
    </row>
    <row r="103" spans="1:6">
      <c r="A103" s="1305" t="s">
        <v>76</v>
      </c>
      <c r="B103" s="1306">
        <v>1079</v>
      </c>
      <c r="C103" s="330"/>
      <c r="D103" s="330"/>
      <c r="E103" s="330"/>
      <c r="F103" s="330"/>
    </row>
    <row r="104" spans="1:6">
      <c r="A104" s="1305" t="s">
        <v>77</v>
      </c>
      <c r="B104" s="1306">
        <v>10625</v>
      </c>
      <c r="C104" s="330"/>
      <c r="D104" s="330"/>
      <c r="E104" s="330"/>
      <c r="F104" s="330"/>
    </row>
    <row r="105" spans="1:6">
      <c r="A105" s="1300" t="s">
        <v>78</v>
      </c>
      <c r="B105" s="1309">
        <v>174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42</v>
      </c>
      <c r="C123" s="1306">
        <v>54</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297</v>
      </c>
      <c r="C129" s="330"/>
      <c r="D129" s="330"/>
      <c r="E129" s="330"/>
      <c r="F129" s="330"/>
    </row>
    <row r="130" spans="1:6">
      <c r="A130" s="1305" t="s">
        <v>294</v>
      </c>
      <c r="B130" s="1306">
        <v>6</v>
      </c>
      <c r="C130" s="330"/>
      <c r="D130" s="330"/>
      <c r="E130" s="330"/>
      <c r="F130" s="330"/>
    </row>
    <row r="131" spans="1:6">
      <c r="A131" s="1305" t="s">
        <v>295</v>
      </c>
      <c r="B131" s="1306">
        <v>7</v>
      </c>
      <c r="C131" s="330"/>
      <c r="D131" s="330"/>
      <c r="E131" s="330"/>
      <c r="F131" s="330"/>
    </row>
    <row r="132" spans="1:6">
      <c r="A132" s="1300" t="s">
        <v>296</v>
      </c>
      <c r="B132" s="1301">
        <v>45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378711.79317523801</v>
      </c>
      <c r="C3" s="43" t="s">
        <v>169</v>
      </c>
      <c r="D3" s="43"/>
      <c r="E3" s="154"/>
      <c r="F3" s="43"/>
      <c r="G3" s="43"/>
      <c r="H3" s="43"/>
      <c r="I3" s="43"/>
      <c r="J3" s="43"/>
      <c r="K3" s="96"/>
    </row>
    <row r="4" spans="1:11">
      <c r="A4" s="359" t="s">
        <v>170</v>
      </c>
      <c r="B4" s="49">
        <f>IF(ISERROR('SEAP template'!B78+'SEAP template'!C78),0,'SEAP template'!B78+'SEAP template'!C78)</f>
        <v>21066.684527151618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0.20870638420983575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4343.5429999999997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4343.5429999999997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0.20870638420983575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906.52515418994255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138005.815363</v>
      </c>
      <c r="C5" s="17">
        <f>IF(ISERROR('Eigen informatie GS &amp; warmtenet'!B57),0,'Eigen informatie GS &amp; warmtenet'!B57)</f>
        <v>0</v>
      </c>
      <c r="D5" s="30">
        <f>(SUM(HH_hh_gas_kWh,HH_rest_gas_kWh)/1000)*0.902</f>
        <v>317161.73572648724</v>
      </c>
      <c r="E5" s="17">
        <f>B46*B57</f>
        <v>79361.708974790818</v>
      </c>
      <c r="F5" s="17">
        <f>B51*B62</f>
        <v>45830.034965180705</v>
      </c>
      <c r="G5" s="18"/>
      <c r="H5" s="17"/>
      <c r="I5" s="17"/>
      <c r="J5" s="17">
        <f>B50*B61+C50*C61</f>
        <v>3432.557061641452</v>
      </c>
      <c r="K5" s="17"/>
      <c r="L5" s="17"/>
      <c r="M5" s="17"/>
      <c r="N5" s="17">
        <f>B48*B59+C48*C59</f>
        <v>40928.886999676586</v>
      </c>
      <c r="O5" s="17">
        <f>B69*B70*B71</f>
        <v>548.73</v>
      </c>
      <c r="P5" s="17">
        <f>B77*B78*B79/1000-B77*B78*B79/1000/B80</f>
        <v>1677.8666666666668</v>
      </c>
    </row>
    <row r="6" spans="1:16">
      <c r="A6" s="16" t="s">
        <v>630</v>
      </c>
      <c r="B6" s="763">
        <f>kWh_PV_kleiner_dan_10kW</f>
        <v>11257.442899169515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149263.25826216952</v>
      </c>
      <c r="C8" s="21">
        <f>C5</f>
        <v>0</v>
      </c>
      <c r="D8" s="21">
        <f>D5</f>
        <v>317161.73572648724</v>
      </c>
      <c r="E8" s="21">
        <f>E5</f>
        <v>79361.708974790818</v>
      </c>
      <c r="F8" s="21">
        <f>F5</f>
        <v>45830.034965180705</v>
      </c>
      <c r="G8" s="21"/>
      <c r="H8" s="21"/>
      <c r="I8" s="21"/>
      <c r="J8" s="21">
        <f>J5</f>
        <v>3432.557061641452</v>
      </c>
      <c r="K8" s="21"/>
      <c r="L8" s="21">
        <f>L5</f>
        <v>0</v>
      </c>
      <c r="M8" s="21">
        <f>M5</f>
        <v>0</v>
      </c>
      <c r="N8" s="21">
        <f>N5</f>
        <v>40928.886999676586</v>
      </c>
      <c r="O8" s="21">
        <f>O5</f>
        <v>548.73</v>
      </c>
      <c r="P8" s="21">
        <f>P5</f>
        <v>1677.8666666666668</v>
      </c>
    </row>
    <row r="9" spans="1:16">
      <c r="B9" s="19"/>
      <c r="C9" s="19"/>
      <c r="D9" s="258"/>
      <c r="E9" s="19"/>
      <c r="F9" s="19"/>
      <c r="G9" s="19"/>
      <c r="H9" s="19"/>
      <c r="I9" s="19"/>
      <c r="J9" s="19"/>
      <c r="K9" s="19"/>
      <c r="L9" s="19"/>
      <c r="M9" s="19"/>
      <c r="N9" s="19"/>
      <c r="O9" s="19"/>
      <c r="P9" s="19"/>
    </row>
    <row r="10" spans="1:16">
      <c r="A10" s="24" t="s">
        <v>213</v>
      </c>
      <c r="B10" s="25">
        <f ca="1">'EF ele_warmte'!B12</f>
        <v>0.20870638420983575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31152.194927276294</v>
      </c>
      <c r="C12" s="23">
        <f ca="1">C10*C8</f>
        <v>0</v>
      </c>
      <c r="D12" s="23">
        <f>D8*D10</f>
        <v>64066.670616750424</v>
      </c>
      <c r="E12" s="23">
        <f>E10*E8</f>
        <v>18015.107937277517</v>
      </c>
      <c r="F12" s="23">
        <f>F10*F8</f>
        <v>12236.619335703248</v>
      </c>
      <c r="G12" s="23"/>
      <c r="H12" s="23"/>
      <c r="I12" s="23"/>
      <c r="J12" s="23">
        <f>J10*J8</f>
        <v>1215.1251998210739</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15443</v>
      </c>
      <c r="C18" s="166" t="s">
        <v>110</v>
      </c>
      <c r="D18" s="228"/>
      <c r="E18" s="15"/>
    </row>
    <row r="19" spans="1:7">
      <c r="A19" s="171" t="s">
        <v>71</v>
      </c>
      <c r="B19" s="37">
        <f>aantalw2001_ander</f>
        <v>386</v>
      </c>
      <c r="C19" s="166" t="s">
        <v>110</v>
      </c>
      <c r="D19" s="229"/>
      <c r="E19" s="15"/>
    </row>
    <row r="20" spans="1:7">
      <c r="A20" s="171" t="s">
        <v>72</v>
      </c>
      <c r="B20" s="37">
        <f>aantalw2001_propaan</f>
        <v>323</v>
      </c>
      <c r="C20" s="167">
        <f>IF(ISERROR(B20/SUM($B$20,$B$21,$B$22)*100),0,B20/SUM($B$20,$B$21,$B$22)*100)</f>
        <v>10.147659440779139</v>
      </c>
      <c r="D20" s="229"/>
      <c r="E20" s="15"/>
    </row>
    <row r="21" spans="1:7">
      <c r="A21" s="171" t="s">
        <v>73</v>
      </c>
      <c r="B21" s="37">
        <f>aantalw2001_elektriciteit</f>
        <v>2629</v>
      </c>
      <c r="C21" s="167">
        <f>IF(ISERROR(B21/SUM($B$20,$B$21,$B$22)*100),0,B21/SUM($B$20,$B$21,$B$22)*100)</f>
        <v>82.595036129437631</v>
      </c>
      <c r="D21" s="229"/>
      <c r="E21" s="15"/>
    </row>
    <row r="22" spans="1:7">
      <c r="A22" s="171" t="s">
        <v>74</v>
      </c>
      <c r="B22" s="37">
        <f>aantalw2001_hout</f>
        <v>231</v>
      </c>
      <c r="C22" s="167">
        <f>IF(ISERROR(B22/SUM($B$20,$B$21,$B$22)*100),0,B22/SUM($B$20,$B$21,$B$22)*100)</f>
        <v>7.2573044297832237</v>
      </c>
      <c r="D22" s="229"/>
      <c r="E22" s="15"/>
    </row>
    <row r="23" spans="1:7">
      <c r="A23" s="171" t="s">
        <v>75</v>
      </c>
      <c r="B23" s="37">
        <f>aantalw2001_niet_gespec</f>
        <v>1339</v>
      </c>
      <c r="C23" s="166" t="s">
        <v>110</v>
      </c>
      <c r="D23" s="228"/>
      <c r="E23" s="15"/>
    </row>
    <row r="24" spans="1:7">
      <c r="A24" s="171" t="s">
        <v>76</v>
      </c>
      <c r="B24" s="37">
        <f>aantalw2001_steenkool</f>
        <v>1079</v>
      </c>
      <c r="C24" s="166" t="s">
        <v>110</v>
      </c>
      <c r="D24" s="229"/>
      <c r="E24" s="15"/>
    </row>
    <row r="25" spans="1:7">
      <c r="A25" s="171" t="s">
        <v>77</v>
      </c>
      <c r="B25" s="37">
        <f>aantalw2001_stookolie</f>
        <v>10625</v>
      </c>
      <c r="C25" s="166" t="s">
        <v>110</v>
      </c>
      <c r="D25" s="228"/>
      <c r="E25" s="52"/>
    </row>
    <row r="26" spans="1:7">
      <c r="A26" s="171" t="s">
        <v>78</v>
      </c>
      <c r="B26" s="37">
        <f>aantalw2001_WP</f>
        <v>174</v>
      </c>
      <c r="C26" s="166" t="s">
        <v>110</v>
      </c>
      <c r="D26" s="228"/>
      <c r="E26" s="15"/>
    </row>
    <row r="27" spans="1:7" s="15" customFormat="1">
      <c r="A27" s="171"/>
      <c r="B27" s="29"/>
      <c r="C27" s="36"/>
      <c r="D27" s="228"/>
    </row>
    <row r="28" spans="1:7" s="15" customFormat="1">
      <c r="A28" s="230" t="s">
        <v>736</v>
      </c>
      <c r="B28" s="37">
        <f>aantalHuishoudens</f>
        <v>37032</v>
      </c>
      <c r="C28" s="36"/>
      <c r="D28" s="228"/>
    </row>
    <row r="29" spans="1:7" s="15" customFormat="1">
      <c r="A29" s="230" t="s">
        <v>737</v>
      </c>
      <c r="B29" s="37">
        <f>SUM(HH_hh_gas_aantal,HH_rest_gas_aantal)</f>
        <v>24974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24974</v>
      </c>
      <c r="C32" s="167">
        <f>IF(ISERROR(B32/SUM($B$32,$B$34,$B$35,$B$36,$B$38,$B$39)*100),0,B32/SUM($B$32,$B$34,$B$35,$B$36,$B$38,$B$39)*100)</f>
        <v>67.599610220874837</v>
      </c>
      <c r="D32" s="233"/>
      <c r="G32" s="15"/>
    </row>
    <row r="33" spans="1:7">
      <c r="A33" s="171" t="s">
        <v>71</v>
      </c>
      <c r="B33" s="34" t="s">
        <v>110</v>
      </c>
      <c r="C33" s="167"/>
      <c r="D33" s="233"/>
      <c r="G33" s="15"/>
    </row>
    <row r="34" spans="1:7">
      <c r="A34" s="171" t="s">
        <v>72</v>
      </c>
      <c r="B34" s="33">
        <f>IF((($B$28-$B$32-$B$39-$B$77-$B$38)*C20/100)&lt;0,0,($B$28-$B$32-$B$39-$B$77-$B$38)*C20/100)</f>
        <v>994.16619541313219</v>
      </c>
      <c r="C34" s="167">
        <f>IF(ISERROR(B34/SUM($B$32,$B$34,$B$35,$B$36,$B$38,$B$39)*100),0,B34/SUM($B$32,$B$34,$B$35,$B$36,$B$38,$B$39)*100)</f>
        <v>2.6910085410706266</v>
      </c>
      <c r="D34" s="233"/>
      <c r="G34" s="15"/>
    </row>
    <row r="35" spans="1:7">
      <c r="A35" s="171" t="s">
        <v>73</v>
      </c>
      <c r="B35" s="33">
        <f>IF((($B$28-$B$32-$B$39-$B$77-$B$38)*C21/100)&lt;0,0,($B$28-$B$32-$B$39-$B$77-$B$38)*C21/100)</f>
        <v>8091.8356896010046</v>
      </c>
      <c r="C35" s="167">
        <f>IF(ISERROR(B35/SUM($B$32,$B$34,$B$35,$B$36,$B$38,$B$39)*100),0,B35/SUM($B$32,$B$34,$B$35,$B$36,$B$38,$B$39)*100)</f>
        <v>21.902976639240485</v>
      </c>
      <c r="D35" s="233"/>
      <c r="G35" s="15"/>
    </row>
    <row r="36" spans="1:7">
      <c r="A36" s="171" t="s">
        <v>74</v>
      </c>
      <c r="B36" s="33">
        <f>IF((($B$28-$B$32-$B$39-$B$77-$B$38)*C22/100)&lt;0,0,($B$28-$B$32-$B$39-$B$77-$B$38)*C22/100)</f>
        <v>710.99811498586246</v>
      </c>
      <c r="C36" s="167">
        <f>IF(ISERROR(B36/SUM($B$32,$B$34,$B$35,$B$36,$B$38,$B$39)*100),0,B36/SUM($B$32,$B$34,$B$35,$B$36,$B$38,$B$39)*100)</f>
        <v>1.9245293281341016</v>
      </c>
      <c r="D36" s="233"/>
      <c r="G36" s="15"/>
    </row>
    <row r="37" spans="1:7">
      <c r="A37" s="171" t="s">
        <v>75</v>
      </c>
      <c r="B37" s="34" t="s">
        <v>110</v>
      </c>
      <c r="C37" s="167"/>
      <c r="D37" s="173"/>
      <c r="G37" s="15"/>
    </row>
    <row r="38" spans="1:7">
      <c r="A38" s="171" t="s">
        <v>76</v>
      </c>
      <c r="B38" s="33">
        <f>IF((B24-(B29-B18)*0.1)&lt;0,0,B24-(B29-B18)*0.1)</f>
        <v>125.89999999999998</v>
      </c>
      <c r="C38" s="167">
        <f>IF(ISERROR(B38/SUM($B$32,$B$34,$B$35,$B$36,$B$38,$B$39)*100),0,B38/SUM($B$32,$B$34,$B$35,$B$36,$B$38,$B$39)*100)</f>
        <v>0.34078605456907746</v>
      </c>
      <c r="D38" s="234"/>
      <c r="G38" s="15"/>
    </row>
    <row r="39" spans="1:7">
      <c r="A39" s="171" t="s">
        <v>77</v>
      </c>
      <c r="B39" s="33">
        <f>IF((B25-(B29-B18))&lt;0,0,B25-(B29-B18)*0.9)</f>
        <v>2047.1000000000004</v>
      </c>
      <c r="C39" s="167">
        <f>IF(ISERROR(B39/SUM($B$32,$B$34,$B$35,$B$36,$B$38,$B$39)*100),0,B39/SUM($B$32,$B$34,$B$35,$B$36,$B$38,$B$39)*100)</f>
        <v>5.5410892161108709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24974</v>
      </c>
      <c r="C44" s="34" t="s">
        <v>110</v>
      </c>
      <c r="D44" s="174"/>
    </row>
    <row r="45" spans="1:7">
      <c r="A45" s="171" t="s">
        <v>71</v>
      </c>
      <c r="B45" s="33" t="str">
        <f t="shared" si="0"/>
        <v>-</v>
      </c>
      <c r="C45" s="34" t="s">
        <v>110</v>
      </c>
      <c r="D45" s="174"/>
    </row>
    <row r="46" spans="1:7">
      <c r="A46" s="171" t="s">
        <v>72</v>
      </c>
      <c r="B46" s="33">
        <f t="shared" si="0"/>
        <v>994.16619541313219</v>
      </c>
      <c r="C46" s="34" t="s">
        <v>110</v>
      </c>
      <c r="D46" s="174"/>
    </row>
    <row r="47" spans="1:7">
      <c r="A47" s="171" t="s">
        <v>73</v>
      </c>
      <c r="B47" s="33">
        <f t="shared" si="0"/>
        <v>8091.8356896010046</v>
      </c>
      <c r="C47" s="34" t="s">
        <v>110</v>
      </c>
      <c r="D47" s="174"/>
    </row>
    <row r="48" spans="1:7">
      <c r="A48" s="171" t="s">
        <v>74</v>
      </c>
      <c r="B48" s="33">
        <f t="shared" si="0"/>
        <v>710.99811498586246</v>
      </c>
      <c r="C48" s="33">
        <f>B48*10</f>
        <v>7109.9811498586241</v>
      </c>
      <c r="D48" s="234"/>
    </row>
    <row r="49" spans="1:6">
      <c r="A49" s="171" t="s">
        <v>75</v>
      </c>
      <c r="B49" s="33" t="str">
        <f t="shared" si="0"/>
        <v>-</v>
      </c>
      <c r="C49" s="34" t="s">
        <v>110</v>
      </c>
      <c r="D49" s="234"/>
    </row>
    <row r="50" spans="1:6">
      <c r="A50" s="171" t="s">
        <v>76</v>
      </c>
      <c r="B50" s="33">
        <f t="shared" si="0"/>
        <v>125.89999999999998</v>
      </c>
      <c r="C50" s="33">
        <f>B50*2</f>
        <v>251.79999999999995</v>
      </c>
      <c r="D50" s="234"/>
    </row>
    <row r="51" spans="1:6">
      <c r="A51" s="171" t="s">
        <v>77</v>
      </c>
      <c r="B51" s="33">
        <f t="shared" si="0"/>
        <v>2047.1000000000004</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351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110968.15700000001</v>
      </c>
      <c r="C5" s="17">
        <f>IF(ISERROR('Eigen informatie GS &amp; warmtenet'!B58),0,'Eigen informatie GS &amp; warmtenet'!B58)</f>
        <v>0</v>
      </c>
      <c r="D5" s="30">
        <f>SUM(D6:D12)</f>
        <v>132901.91359206301</v>
      </c>
      <c r="E5" s="17">
        <f>SUM(E6:E12)</f>
        <v>1192.2508603424478</v>
      </c>
      <c r="F5" s="17">
        <f>SUM(F6:F12)</f>
        <v>16287.619815769545</v>
      </c>
      <c r="G5" s="18"/>
      <c r="H5" s="17"/>
      <c r="I5" s="17"/>
      <c r="J5" s="17">
        <f>SUM(J6:J12)</f>
        <v>0</v>
      </c>
      <c r="K5" s="17"/>
      <c r="L5" s="17"/>
      <c r="M5" s="17"/>
      <c r="N5" s="17">
        <f>SUM(N6:N12)</f>
        <v>6380.4924783365805</v>
      </c>
      <c r="O5" s="17">
        <f>B38*B39*B40</f>
        <v>9.3800000000000008</v>
      </c>
      <c r="P5" s="17">
        <f>B46*B47*B48/1000-B46*B47*B48/1000/B49</f>
        <v>133.46666666666667</v>
      </c>
      <c r="R5" s="32"/>
    </row>
    <row r="6" spans="1:18">
      <c r="A6" s="32" t="s">
        <v>53</v>
      </c>
      <c r="B6" s="37">
        <f>B26</f>
        <v>21401.008000000002</v>
      </c>
      <c r="C6" s="33"/>
      <c r="D6" s="37">
        <f>IF(ISERROR(TER_kantoor_gas_kWh/1000),0,TER_kantoor_gas_kWh/1000)*0.902</f>
        <v>29800.568675983308</v>
      </c>
      <c r="E6" s="33">
        <f>$C$26*'E Balans VL '!I12/100/3.6*1000000</f>
        <v>62.001860149098533</v>
      </c>
      <c r="F6" s="33">
        <f>$C$26*('E Balans VL '!L12+'E Balans VL '!N12)/100/3.6*1000000</f>
        <v>2422.1226048372</v>
      </c>
      <c r="G6" s="34"/>
      <c r="H6" s="33"/>
      <c r="I6" s="33"/>
      <c r="J6" s="33">
        <f>$C$26*('E Balans VL '!D12+'E Balans VL '!E12)/100/3.6*1000000</f>
        <v>0</v>
      </c>
      <c r="K6" s="33"/>
      <c r="L6" s="33"/>
      <c r="M6" s="33"/>
      <c r="N6" s="33">
        <f>$C$26*'E Balans VL '!Y12/100/3.6*1000000</f>
        <v>214.20832111324066</v>
      </c>
      <c r="O6" s="33"/>
      <c r="P6" s="33"/>
      <c r="R6" s="32"/>
    </row>
    <row r="7" spans="1:18">
      <c r="A7" s="32" t="s">
        <v>52</v>
      </c>
      <c r="B7" s="37">
        <f t="shared" ref="B7:B12" si="0">B27</f>
        <v>9988.7450000000008</v>
      </c>
      <c r="C7" s="33"/>
      <c r="D7" s="37">
        <f>IF(ISERROR(TER_horeca_gas_kWh/1000),0,TER_horeca_gas_kWh/1000)*0.902</f>
        <v>15855.431073686674</v>
      </c>
      <c r="E7" s="33">
        <f>$C$27*'E Balans VL '!I9/100/3.6*1000000</f>
        <v>419.29960709803908</v>
      </c>
      <c r="F7" s="33">
        <f>$C$27*('E Balans VL '!L9+'E Balans VL '!N9)/100/3.6*1000000</f>
        <v>2146.2867017585195</v>
      </c>
      <c r="G7" s="34"/>
      <c r="H7" s="33"/>
      <c r="I7" s="33"/>
      <c r="J7" s="33">
        <f>$C$27*('E Balans VL '!D9+'E Balans VL '!E9)/100/3.6*1000000</f>
        <v>0</v>
      </c>
      <c r="K7" s="33"/>
      <c r="L7" s="33"/>
      <c r="M7" s="33"/>
      <c r="N7" s="33">
        <f>$C$27*'E Balans VL '!Y9/100/3.6*1000000</f>
        <v>2.5740122317559799</v>
      </c>
      <c r="O7" s="33"/>
      <c r="P7" s="33"/>
      <c r="R7" s="32"/>
    </row>
    <row r="8" spans="1:18">
      <c r="A8" s="6" t="s">
        <v>51</v>
      </c>
      <c r="B8" s="37">
        <f t="shared" si="0"/>
        <v>44778.805</v>
      </c>
      <c r="C8" s="33"/>
      <c r="D8" s="37">
        <f>IF(ISERROR(TER_handel_gas_kWh/1000),0,TER_handel_gas_kWh/1000)*0.902</f>
        <v>36563.064877128294</v>
      </c>
      <c r="E8" s="33">
        <f>$C$28*'E Balans VL '!I13/100/3.6*1000000</f>
        <v>480.96163403998975</v>
      </c>
      <c r="F8" s="33">
        <f>$C$28*('E Balans VL '!L13+'E Balans VL '!N13)/100/3.6*1000000</f>
        <v>5796.9860829988402</v>
      </c>
      <c r="G8" s="34"/>
      <c r="H8" s="33"/>
      <c r="I8" s="33"/>
      <c r="J8" s="33">
        <f>$C$28*('E Balans VL '!D13+'E Balans VL '!E13)/100/3.6*1000000</f>
        <v>0</v>
      </c>
      <c r="K8" s="33"/>
      <c r="L8" s="33"/>
      <c r="M8" s="33"/>
      <c r="N8" s="33">
        <f>$C$28*'E Balans VL '!Y13/100/3.6*1000000</f>
        <v>363.24811118906172</v>
      </c>
      <c r="O8" s="33"/>
      <c r="P8" s="33"/>
      <c r="R8" s="32"/>
    </row>
    <row r="9" spans="1:18">
      <c r="A9" s="32" t="s">
        <v>50</v>
      </c>
      <c r="B9" s="37">
        <f t="shared" si="0"/>
        <v>2606.2379999999998</v>
      </c>
      <c r="C9" s="33"/>
      <c r="D9" s="37">
        <f>IF(ISERROR(TER_gezond_gas_kWh/1000),0,TER_gezond_gas_kWh/1000)*0.902</f>
        <v>5880.1978260247961</v>
      </c>
      <c r="E9" s="33">
        <f>$C$29*'E Balans VL '!I10/100/3.6*1000000</f>
        <v>2.0747340149577975</v>
      </c>
      <c r="F9" s="33">
        <f>$C$29*('E Balans VL '!L10+'E Balans VL '!N10)/100/3.6*1000000</f>
        <v>316.82589243146953</v>
      </c>
      <c r="G9" s="34"/>
      <c r="H9" s="33"/>
      <c r="I9" s="33"/>
      <c r="J9" s="33">
        <f>$C$29*('E Balans VL '!D10+'E Balans VL '!E10)/100/3.6*1000000</f>
        <v>0</v>
      </c>
      <c r="K9" s="33"/>
      <c r="L9" s="33"/>
      <c r="M9" s="33"/>
      <c r="N9" s="33">
        <f>$C$29*'E Balans VL '!Y10/100/3.6*1000000</f>
        <v>21.052500086608823</v>
      </c>
      <c r="O9" s="33"/>
      <c r="P9" s="33"/>
      <c r="R9" s="32"/>
    </row>
    <row r="10" spans="1:18">
      <c r="A10" s="32" t="s">
        <v>49</v>
      </c>
      <c r="B10" s="37">
        <f t="shared" si="0"/>
        <v>5432.5240000000003</v>
      </c>
      <c r="C10" s="33"/>
      <c r="D10" s="37">
        <f>IF(ISERROR(TER_ander_gas_kWh/1000),0,TER_ander_gas_kWh/1000)*0.902</f>
        <v>12426.361257741904</v>
      </c>
      <c r="E10" s="33">
        <f>$C$30*'E Balans VL '!I14/100/3.6*1000000</f>
        <v>18.617545136228195</v>
      </c>
      <c r="F10" s="33">
        <f>$C$30*('E Balans VL '!L14+'E Balans VL '!N14)/100/3.6*1000000</f>
        <v>1213.4051098284265</v>
      </c>
      <c r="G10" s="34"/>
      <c r="H10" s="33"/>
      <c r="I10" s="33"/>
      <c r="J10" s="33">
        <f>$C$30*('E Balans VL '!D14+'E Balans VL '!E14)/100/3.6*1000000</f>
        <v>0</v>
      </c>
      <c r="K10" s="33"/>
      <c r="L10" s="33"/>
      <c r="M10" s="33"/>
      <c r="N10" s="33">
        <f>$C$30*'E Balans VL '!Y14/100/3.6*1000000</f>
        <v>3826.6995828985014</v>
      </c>
      <c r="O10" s="33"/>
      <c r="P10" s="33"/>
      <c r="R10" s="32"/>
    </row>
    <row r="11" spans="1:18">
      <c r="A11" s="32" t="s">
        <v>54</v>
      </c>
      <c r="B11" s="37">
        <f t="shared" si="0"/>
        <v>3910.627</v>
      </c>
      <c r="C11" s="33"/>
      <c r="D11" s="37">
        <f>IF(ISERROR(TER_onderwijs_gas_kWh/1000),0,TER_onderwijs_gas_kWh/1000)*0.902</f>
        <v>6730.7601541725153</v>
      </c>
      <c r="E11" s="33">
        <f>$C$31*'E Balans VL '!I11/100/3.6*1000000</f>
        <v>2.7032960072670065</v>
      </c>
      <c r="F11" s="33">
        <f>$C$31*('E Balans VL '!L11+'E Balans VL '!N11)/100/3.6*1000000</f>
        <v>1023.6885525933239</v>
      </c>
      <c r="G11" s="34"/>
      <c r="H11" s="33"/>
      <c r="I11" s="33"/>
      <c r="J11" s="33">
        <f>$C$31*('E Balans VL '!D11+'E Balans VL '!E11)/100/3.6*1000000</f>
        <v>0</v>
      </c>
      <c r="K11" s="33"/>
      <c r="L11" s="33"/>
      <c r="M11" s="33"/>
      <c r="N11" s="33">
        <f>$C$31*'E Balans VL '!Y11/100/3.6*1000000</f>
        <v>3.892696097275226</v>
      </c>
      <c r="O11" s="33"/>
      <c r="P11" s="33"/>
      <c r="R11" s="32"/>
    </row>
    <row r="12" spans="1:18">
      <c r="A12" s="32" t="s">
        <v>259</v>
      </c>
      <c r="B12" s="37">
        <f t="shared" si="0"/>
        <v>22850.21</v>
      </c>
      <c r="C12" s="33"/>
      <c r="D12" s="37">
        <f>IF(ISERROR(TER_rest_gas_kWh/1000),0,TER_rest_gas_kWh/1000)*0.902</f>
        <v>25645.529727325502</v>
      </c>
      <c r="E12" s="33">
        <f>$C$32*'E Balans VL '!I8/100/3.6*1000000</f>
        <v>206.5921838968674</v>
      </c>
      <c r="F12" s="33">
        <f>$C$32*('E Balans VL '!L8+'E Balans VL '!N8)/100/3.6*1000000</f>
        <v>3368.3048713217672</v>
      </c>
      <c r="G12" s="34"/>
      <c r="H12" s="33"/>
      <c r="I12" s="33"/>
      <c r="J12" s="33">
        <f>$C$32*('E Balans VL '!D8+'E Balans VL '!E8)/100/3.6*1000000</f>
        <v>0</v>
      </c>
      <c r="K12" s="33"/>
      <c r="L12" s="33"/>
      <c r="M12" s="33"/>
      <c r="N12" s="33">
        <f>$C$32*'E Balans VL '!Y8/100/3.6*1000000</f>
        <v>1948.817254720138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110968.15700000001</v>
      </c>
      <c r="C16" s="21">
        <f t="shared" ca="1" si="1"/>
        <v>0</v>
      </c>
      <c r="D16" s="21">
        <f t="shared" ca="1" si="1"/>
        <v>132901.91359206301</v>
      </c>
      <c r="E16" s="21">
        <f t="shared" si="1"/>
        <v>1192.2508603424478</v>
      </c>
      <c r="F16" s="21">
        <f t="shared" ca="1" si="1"/>
        <v>16287.619815769545</v>
      </c>
      <c r="G16" s="21">
        <f t="shared" si="1"/>
        <v>0</v>
      </c>
      <c r="H16" s="21">
        <f t="shared" si="1"/>
        <v>0</v>
      </c>
      <c r="I16" s="21">
        <f t="shared" si="1"/>
        <v>0</v>
      </c>
      <c r="J16" s="21">
        <f t="shared" si="1"/>
        <v>0</v>
      </c>
      <c r="K16" s="21">
        <f t="shared" si="1"/>
        <v>0</v>
      </c>
      <c r="L16" s="21">
        <f t="shared" ca="1" si="1"/>
        <v>0</v>
      </c>
      <c r="M16" s="21">
        <f t="shared" si="1"/>
        <v>0</v>
      </c>
      <c r="N16" s="21">
        <f t="shared" ca="1" si="1"/>
        <v>6380.4924783365805</v>
      </c>
      <c r="O16" s="21">
        <f>O5</f>
        <v>9.3800000000000008</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0.20870638420983575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23159.762809899377</v>
      </c>
      <c r="C20" s="23">
        <f t="shared" ref="C20:P20" ca="1" si="2">C16*C18</f>
        <v>0</v>
      </c>
      <c r="D20" s="23">
        <f t="shared" ca="1" si="2"/>
        <v>26846.186545596731</v>
      </c>
      <c r="E20" s="23">
        <f t="shared" si="2"/>
        <v>270.64094529773564</v>
      </c>
      <c r="F20" s="23">
        <f t="shared" ca="1" si="2"/>
        <v>4348.7944908104691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21401.008000000002</v>
      </c>
      <c r="C26" s="39">
        <f>IF(ISERROR(B26*3.6/1000000/'E Balans VL '!Z12*100),0,B26*3.6/1000000/'E Balans VL '!Z12*100)</f>
        <v>0.47009788276284792</v>
      </c>
      <c r="D26" s="237" t="s">
        <v>691</v>
      </c>
      <c r="F26" s="6"/>
    </row>
    <row r="27" spans="1:18">
      <c r="A27" s="231" t="s">
        <v>52</v>
      </c>
      <c r="B27" s="33">
        <f>IF(ISERROR(TER_horeca_ele_kWh/1000),0,TER_horeca_ele_kWh/1000)</f>
        <v>9988.7450000000008</v>
      </c>
      <c r="C27" s="39">
        <f>IF(ISERROR(B27*3.6/1000000/'E Balans VL '!Z9*100),0,B27*3.6/1000000/'E Balans VL '!Z9*100)</f>
        <v>0.80269522973617724</v>
      </c>
      <c r="D27" s="237" t="s">
        <v>691</v>
      </c>
      <c r="F27" s="6"/>
    </row>
    <row r="28" spans="1:18">
      <c r="A28" s="171" t="s">
        <v>51</v>
      </c>
      <c r="B28" s="33">
        <f>IF(ISERROR(TER_handel_ele_kWh/1000),0,TER_handel_ele_kWh/1000)</f>
        <v>44778.805</v>
      </c>
      <c r="C28" s="39">
        <f>IF(ISERROR(B28*3.6/1000000/'E Balans VL '!Z13*100),0,B28*3.6/1000000/'E Balans VL '!Z13*100)</f>
        <v>1.3240779807199887</v>
      </c>
      <c r="D28" s="237" t="s">
        <v>691</v>
      </c>
      <c r="F28" s="6"/>
    </row>
    <row r="29" spans="1:18">
      <c r="A29" s="231" t="s">
        <v>50</v>
      </c>
      <c r="B29" s="33">
        <f>IF(ISERROR(TER_gezond_ele_kWh/1000),0,TER_gezond_ele_kWh/1000)</f>
        <v>2606.2379999999998</v>
      </c>
      <c r="C29" s="39">
        <f>IF(ISERROR(B29*3.6/1000000/'E Balans VL '!Z10*100),0,B29*3.6/1000000/'E Balans VL '!Z10*100)</f>
        <v>0.29365573546621582</v>
      </c>
      <c r="D29" s="237" t="s">
        <v>691</v>
      </c>
      <c r="F29" s="6"/>
    </row>
    <row r="30" spans="1:18">
      <c r="A30" s="231" t="s">
        <v>49</v>
      </c>
      <c r="B30" s="33">
        <f>IF(ISERROR(TER_ander_ele_kWh/1000),0,TER_ander_ele_kWh/1000)</f>
        <v>5432.5240000000003</v>
      </c>
      <c r="C30" s="39">
        <f>IF(ISERROR(B30*3.6/1000000/'E Balans VL '!Z14*100),0,B30*3.6/1000000/'E Balans VL '!Z14*100)</f>
        <v>0.41085250363969289</v>
      </c>
      <c r="D30" s="237" t="s">
        <v>691</v>
      </c>
      <c r="F30" s="6"/>
    </row>
    <row r="31" spans="1:18">
      <c r="A31" s="231" t="s">
        <v>54</v>
      </c>
      <c r="B31" s="33">
        <f>IF(ISERROR(TER_onderwijs_ele_kWh/1000),0,TER_onderwijs_ele_kWh/1000)</f>
        <v>3910.627</v>
      </c>
      <c r="C31" s="39">
        <f>IF(ISERROR(B31*3.6/1000000/'E Balans VL '!Z11*100),0,B31*3.6/1000000/'E Balans VL '!Z11*100)</f>
        <v>0.81175538389147495</v>
      </c>
      <c r="D31" s="237" t="s">
        <v>691</v>
      </c>
    </row>
    <row r="32" spans="1:18">
      <c r="A32" s="231" t="s">
        <v>259</v>
      </c>
      <c r="B32" s="33">
        <f>IF(ISERROR(TER_rest_ele_kWh/1000),0,TER_rest_ele_kWh/1000)</f>
        <v>22850.21</v>
      </c>
      <c r="C32" s="39">
        <f>IF(ISERROR(B32*3.6/1000000/'E Balans VL '!Z8*100),0,B32*3.6/1000000/'E Balans VL '!Z8*100)</f>
        <v>0.19249957692667646</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7</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89353.014770000009</v>
      </c>
      <c r="C5" s="17">
        <f>IF(ISERROR('Eigen informatie GS &amp; warmtenet'!B59),0,'Eigen informatie GS &amp; warmtenet'!B59)</f>
        <v>0</v>
      </c>
      <c r="D5" s="30">
        <f>SUM(D6:D15)</f>
        <v>158993.71909723827</v>
      </c>
      <c r="E5" s="17">
        <f>SUM(E6:E15)</f>
        <v>8759.8870135354082</v>
      </c>
      <c r="F5" s="17">
        <f>SUM(F6:F15)</f>
        <v>47355.009880579899</v>
      </c>
      <c r="G5" s="18"/>
      <c r="H5" s="17"/>
      <c r="I5" s="17"/>
      <c r="J5" s="17">
        <f>SUM(J6:J15)</f>
        <v>456.71722658846204</v>
      </c>
      <c r="K5" s="17"/>
      <c r="L5" s="17"/>
      <c r="M5" s="17"/>
      <c r="N5" s="17">
        <f>SUM(N6:N15)</f>
        <v>9646.1618782914466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2441.971</v>
      </c>
      <c r="C8" s="33"/>
      <c r="D8" s="37">
        <f>IF( ISERROR(IND_metaal_Gas_kWH/1000),0,IND_metaal_Gas_kWH/1000)*0.902</f>
        <v>122.17059722328825</v>
      </c>
      <c r="E8" s="33">
        <f>C30*'E Balans VL '!I18/100/3.6*1000000</f>
        <v>61.113987414601439</v>
      </c>
      <c r="F8" s="33">
        <f>C30*'E Balans VL '!L18/100/3.6*1000000+C30*'E Balans VL '!N18/100/3.6*1000000</f>
        <v>765.32585838844886</v>
      </c>
      <c r="G8" s="34"/>
      <c r="H8" s="33"/>
      <c r="I8" s="33"/>
      <c r="J8" s="40">
        <f>C30*'E Balans VL '!D18/100/3.6*1000000+C30*'E Balans VL '!E18/100/3.6*1000000</f>
        <v>0</v>
      </c>
      <c r="K8" s="33"/>
      <c r="L8" s="33"/>
      <c r="M8" s="33"/>
      <c r="N8" s="33">
        <f>C30*'E Balans VL '!Y18/100/3.6*1000000</f>
        <v>61.348648987376421</v>
      </c>
      <c r="O8" s="33"/>
      <c r="P8" s="33"/>
      <c r="R8" s="32"/>
    </row>
    <row r="9" spans="1:18">
      <c r="A9" s="6" t="s">
        <v>32</v>
      </c>
      <c r="B9" s="37">
        <f t="shared" si="0"/>
        <v>20809.411</v>
      </c>
      <c r="C9" s="33"/>
      <c r="D9" s="37">
        <f>IF( ISERROR(IND_andere_gas_kWh/1000),0,IND_andere_gas_kWh/1000)*0.902</f>
        <v>10301.716853231928</v>
      </c>
      <c r="E9" s="33">
        <f>C31*'E Balans VL '!I19/100/3.6*1000000</f>
        <v>5721.7345258509522</v>
      </c>
      <c r="F9" s="33">
        <f>C31*'E Balans VL '!L19/100/3.6*1000000+C31*'E Balans VL '!N19/100/3.6*1000000</f>
        <v>16401.436965501409</v>
      </c>
      <c r="G9" s="34"/>
      <c r="H9" s="33"/>
      <c r="I9" s="33"/>
      <c r="J9" s="40">
        <f>C31*'E Balans VL '!D19/100/3.6*1000000+C31*'E Balans VL '!E19/100/3.6*1000000</f>
        <v>0</v>
      </c>
      <c r="K9" s="33"/>
      <c r="L9" s="33"/>
      <c r="M9" s="33"/>
      <c r="N9" s="33">
        <f>C31*'E Balans VL '!Y19/100/3.6*1000000</f>
        <v>1676.4192633242335</v>
      </c>
      <c r="O9" s="33"/>
      <c r="P9" s="33"/>
      <c r="R9" s="32"/>
    </row>
    <row r="10" spans="1:18">
      <c r="A10" s="6" t="s">
        <v>40</v>
      </c>
      <c r="B10" s="37">
        <f t="shared" si="0"/>
        <v>9137.8250000000007</v>
      </c>
      <c r="C10" s="33"/>
      <c r="D10" s="37">
        <f>IF( ISERROR(IND_voed_gas_kWh/1000),0,IND_voed_gas_kWh/1000)*0.902</f>
        <v>107787.19175982068</v>
      </c>
      <c r="E10" s="33">
        <f>C32*'E Balans VL '!I20/100/3.6*1000000</f>
        <v>93.155091818483086</v>
      </c>
      <c r="F10" s="33">
        <f>C32*'E Balans VL '!L20/100/3.6*1000000+C32*'E Balans VL '!N20/100/3.6*1000000</f>
        <v>17261.294273421525</v>
      </c>
      <c r="G10" s="34"/>
      <c r="H10" s="33"/>
      <c r="I10" s="33"/>
      <c r="J10" s="40">
        <f>C32*'E Balans VL '!D20/100/3.6*1000000+C32*'E Balans VL '!E20/100/3.6*1000000</f>
        <v>218.69805134876515</v>
      </c>
      <c r="K10" s="33"/>
      <c r="L10" s="33"/>
      <c r="M10" s="33"/>
      <c r="N10" s="33">
        <f>C32*'E Balans VL '!Y20/100/3.6*1000000</f>
        <v>4816.6863233727654</v>
      </c>
      <c r="O10" s="33"/>
      <c r="P10" s="33"/>
      <c r="R10" s="32"/>
    </row>
    <row r="11" spans="1:18">
      <c r="A11" s="6" t="s">
        <v>39</v>
      </c>
      <c r="B11" s="37">
        <f t="shared" si="0"/>
        <v>60.106439999999999</v>
      </c>
      <c r="C11" s="33"/>
      <c r="D11" s="37">
        <f>IF( ISERROR(IND_textiel_gas_kWh/1000),0,IND_textiel_gas_kWh/1000)*0.902</f>
        <v>31.387427723013154</v>
      </c>
      <c r="E11" s="33">
        <f>C33*'E Balans VL '!I21/100/3.6*1000000</f>
        <v>0.1593114711224573</v>
      </c>
      <c r="F11" s="33">
        <f>C33*'E Balans VL '!L21/100/3.6*1000000+C33*'E Balans VL '!N21/100/3.6*1000000</f>
        <v>2.6844156148098302</v>
      </c>
      <c r="G11" s="34"/>
      <c r="H11" s="33"/>
      <c r="I11" s="33"/>
      <c r="J11" s="40">
        <f>C33*'E Balans VL '!D21/100/3.6*1000000+C33*'E Balans VL '!E21/100/3.6*1000000</f>
        <v>0</v>
      </c>
      <c r="K11" s="33"/>
      <c r="L11" s="33"/>
      <c r="M11" s="33"/>
      <c r="N11" s="33">
        <f>C33*'E Balans VL '!Y21/100/3.6*1000000</f>
        <v>0.56646023038556592</v>
      </c>
      <c r="O11" s="33"/>
      <c r="P11" s="33"/>
      <c r="R11" s="32"/>
    </row>
    <row r="12" spans="1:18">
      <c r="A12" s="6" t="s">
        <v>36</v>
      </c>
      <c r="B12" s="37">
        <f t="shared" si="0"/>
        <v>176.6362</v>
      </c>
      <c r="C12" s="33"/>
      <c r="D12" s="37">
        <f>IF( ISERROR(IND_min_gas_kWh/1000),0,IND_min_gas_kWh/1000)*0.902</f>
        <v>142.57733245685472</v>
      </c>
      <c r="E12" s="33">
        <f>C34*'E Balans VL '!I22/100/3.6*1000000</f>
        <v>0.53495114789687903</v>
      </c>
      <c r="F12" s="33">
        <f>C34*'E Balans VL '!L22/100/3.6*1000000+C34*'E Balans VL '!N22/100/3.6*1000000</f>
        <v>5.5200331105185896</v>
      </c>
      <c r="G12" s="34"/>
      <c r="H12" s="33"/>
      <c r="I12" s="33"/>
      <c r="J12" s="40">
        <f>C34*'E Balans VL '!D22/100/3.6*1000000+C34*'E Balans VL '!E22/100/3.6*1000000</f>
        <v>0.26191227338411605</v>
      </c>
      <c r="K12" s="33"/>
      <c r="L12" s="33"/>
      <c r="M12" s="33"/>
      <c r="N12" s="33">
        <f>C34*'E Balans VL '!Y22/100/3.6*1000000</f>
        <v>0</v>
      </c>
      <c r="O12" s="33"/>
      <c r="P12" s="33"/>
      <c r="R12" s="32"/>
    </row>
    <row r="13" spans="1:18">
      <c r="A13" s="6" t="s">
        <v>38</v>
      </c>
      <c r="B13" s="37">
        <f t="shared" si="0"/>
        <v>55.184129999999996</v>
      </c>
      <c r="C13" s="33"/>
      <c r="D13" s="37">
        <f>IF( ISERROR(IND_papier_gas_kWh/1000),0,IND_papier_gas_kWh/1000)*0.902</f>
        <v>110.34084342266794</v>
      </c>
      <c r="E13" s="33">
        <f>C35*'E Balans VL '!I23/100/3.6*1000000</f>
        <v>0.11429005806908243</v>
      </c>
      <c r="F13" s="33">
        <f>C35*'E Balans VL '!L23/100/3.6*1000000+C35*'E Balans VL '!N23/100/3.6*1000000</f>
        <v>1.0944196032717166</v>
      </c>
      <c r="G13" s="34"/>
      <c r="H13" s="33"/>
      <c r="I13" s="33"/>
      <c r="J13" s="40">
        <f>C35*'E Balans VL '!D23/100/3.6*1000000+C35*'E Balans VL '!E23/100/3.6*1000000</f>
        <v>0</v>
      </c>
      <c r="K13" s="33"/>
      <c r="L13" s="33"/>
      <c r="M13" s="33"/>
      <c r="N13" s="33">
        <f>C35*'E Balans VL '!Y23/100/3.6*1000000</f>
        <v>3.827298346271593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56671.881000000001</v>
      </c>
      <c r="C15" s="33"/>
      <c r="D15" s="37">
        <f>IF( ISERROR(IND_rest_gas_kWh/1000),0,IND_rest_gas_kWh/1000)*0.902</f>
        <v>40498.334283359844</v>
      </c>
      <c r="E15" s="33">
        <f>C37*'E Balans VL '!I15/100/3.6*1000000</f>
        <v>2883.0748557742827</v>
      </c>
      <c r="F15" s="33">
        <f>C37*'E Balans VL '!L15/100/3.6*1000000+C37*'E Balans VL '!N15/100/3.6*1000000</f>
        <v>12917.653914939927</v>
      </c>
      <c r="G15" s="34"/>
      <c r="H15" s="33"/>
      <c r="I15" s="33"/>
      <c r="J15" s="40">
        <f>C37*'E Balans VL '!D15/100/3.6*1000000+C37*'E Balans VL '!E15/100/3.6*1000000</f>
        <v>237.75726296631279</v>
      </c>
      <c r="K15" s="33"/>
      <c r="L15" s="33"/>
      <c r="M15" s="33"/>
      <c r="N15" s="33">
        <f>C37*'E Balans VL '!Y15/100/3.6*1000000</f>
        <v>3087.3138840304132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89353.014770000009</v>
      </c>
      <c r="C18" s="21">
        <f>C5+C16</f>
        <v>0</v>
      </c>
      <c r="D18" s="21">
        <f>MAX((D5+D16),0)</f>
        <v>158993.71909723827</v>
      </c>
      <c r="E18" s="21">
        <f>MAX((E5+E16),0)</f>
        <v>8759.8870135354082</v>
      </c>
      <c r="F18" s="21">
        <f>MAX((F5+F16),0)</f>
        <v>47355.009880579899</v>
      </c>
      <c r="G18" s="21"/>
      <c r="H18" s="21"/>
      <c r="I18" s="21"/>
      <c r="J18" s="21">
        <f>MAX((J5+J16),0)</f>
        <v>456.71722658846204</v>
      </c>
      <c r="K18" s="21"/>
      <c r="L18" s="21">
        <f>MAX((L5+L16),0)</f>
        <v>0</v>
      </c>
      <c r="M18" s="21"/>
      <c r="N18" s="21">
        <f>MAX((N5+N16),0)</f>
        <v>9646.1618782914466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0.20870638420983575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18648.54463089475</v>
      </c>
      <c r="C22" s="23">
        <f ca="1">C18*C20</f>
        <v>0</v>
      </c>
      <c r="D22" s="23">
        <f>D18*D20</f>
        <v>32116.731257642132</v>
      </c>
      <c r="E22" s="23">
        <f>E18*E20</f>
        <v>1988.4943520725378</v>
      </c>
      <c r="F22" s="23">
        <f>F18*F20</f>
        <v>12643.787638114834</v>
      </c>
      <c r="G22" s="23"/>
      <c r="H22" s="23"/>
      <c r="I22" s="23"/>
      <c r="J22" s="23">
        <f>J18*J20</f>
        <v>161.67789821231554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2441.971</v>
      </c>
      <c r="C30" s="39">
        <f>IF(ISERROR(B30*3.6/1000000/'E Balans VL '!Z18*100),0,B30*3.6/1000000/'E Balans VL '!Z18*100)</f>
        <v>0.34179456041739992</v>
      </c>
      <c r="D30" s="237" t="s">
        <v>691</v>
      </c>
    </row>
    <row r="31" spans="1:18">
      <c r="A31" s="6" t="s">
        <v>32</v>
      </c>
      <c r="B31" s="37">
        <f>IF( ISERROR(IND_ander_ele_kWh/1000),0,IND_ander_ele_kWh/1000)</f>
        <v>20809.411</v>
      </c>
      <c r="C31" s="39">
        <f>IF(ISERROR(B31*3.6/1000000/'E Balans VL '!Z19*100),0,B31*3.6/1000000/'E Balans VL '!Z19*100)</f>
        <v>0.91082454370392596</v>
      </c>
      <c r="D31" s="237" t="s">
        <v>691</v>
      </c>
    </row>
    <row r="32" spans="1:18">
      <c r="A32" s="171" t="s">
        <v>40</v>
      </c>
      <c r="B32" s="37">
        <f>IF( ISERROR(IND_voed_ele_kWh/1000),0,IND_voed_ele_kWh/1000)</f>
        <v>9137.8250000000007</v>
      </c>
      <c r="C32" s="39">
        <f>IF(ISERROR(B32*3.6/1000000/'E Balans VL '!Z20*100),0,B32*3.6/1000000/'E Balans VL '!Z20*100)</f>
        <v>2.2622220177996759</v>
      </c>
      <c r="D32" s="237" t="s">
        <v>691</v>
      </c>
    </row>
    <row r="33" spans="1:5">
      <c r="A33" s="171" t="s">
        <v>39</v>
      </c>
      <c r="B33" s="37">
        <f>IF( ISERROR(IND_textiel_ele_kWh/1000),0,IND_textiel_ele_kWh/1000)</f>
        <v>60.106439999999999</v>
      </c>
      <c r="C33" s="39">
        <f>IF(ISERROR(B33*3.6/1000000/'E Balans VL '!Z21*100),0,B33*3.6/1000000/'E Balans VL '!Z21*100)</f>
        <v>6.7729370033047936E-3</v>
      </c>
      <c r="D33" s="237" t="s">
        <v>691</v>
      </c>
    </row>
    <row r="34" spans="1:5">
      <c r="A34" s="171" t="s">
        <v>36</v>
      </c>
      <c r="B34" s="37">
        <f>IF( ISERROR(IND_min_ele_kWh/1000),0,IND_min_ele_kWh/1000)</f>
        <v>176.6362</v>
      </c>
      <c r="C34" s="39">
        <f>IF(ISERROR(B34*3.6/1000000/'E Balans VL '!Z22*100),0,B34*3.6/1000000/'E Balans VL '!Z22*100)</f>
        <v>5.0122147190342411E-3</v>
      </c>
      <c r="D34" s="237" t="s">
        <v>691</v>
      </c>
    </row>
    <row r="35" spans="1:5">
      <c r="A35" s="171" t="s">
        <v>38</v>
      </c>
      <c r="B35" s="37">
        <f>IF( ISERROR(IND_papier_ele_kWh/1000),0,IND_papier_ele_kWh/1000)</f>
        <v>55.184129999999996</v>
      </c>
      <c r="C35" s="39">
        <f>IF(ISERROR(B35*3.6/1000000/'E Balans VL '!Z22*100),0,B35*3.6/1000000/'E Balans VL '!Z22*100)</f>
        <v>1.5659004702495809E-3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56671.881000000001</v>
      </c>
      <c r="C37" s="39">
        <f>IF(ISERROR(B37*3.6/1000000/'E Balans VL '!Z15*100),0,B37*3.6/1000000/'E Balans VL '!Z15*100)</f>
        <v>0.42021229497839174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1876.3805</v>
      </c>
      <c r="C5" s="17">
        <f>'Eigen informatie GS &amp; warmtenet'!B60</f>
        <v>0</v>
      </c>
      <c r="D5" s="30">
        <f>IF(ISERROR(SUM(LB_lb_gas_kWh,LB_rest_gas_kWh)/1000),0,SUM(LB_lb_gas_kWh,LB_rest_gas_kWh)/1000)*0.902</f>
        <v>951.48067172115657</v>
      </c>
      <c r="E5" s="17">
        <f>B17*'E Balans VL '!I25/3.6*1000000/100</f>
        <v>17.379822091394875</v>
      </c>
      <c r="F5" s="17">
        <f>B17*('E Balans VL '!L25/3.6*1000000+'E Balans VL '!N25/3.6*1000000)/100</f>
        <v>4760.7347786184273</v>
      </c>
      <c r="G5" s="18"/>
      <c r="H5" s="17"/>
      <c r="I5" s="17"/>
      <c r="J5" s="17">
        <f>('E Balans VL '!D25+'E Balans VL '!E25)/3.6*1000000*landbouw!B17/100</f>
        <v>287.67007111749672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1876.3805</v>
      </c>
      <c r="C8" s="21">
        <f>C5+C6</f>
        <v>0</v>
      </c>
      <c r="D8" s="21">
        <f>MAX((D5+D6),0)</f>
        <v>951.48067172115657</v>
      </c>
      <c r="E8" s="21">
        <f>MAX((E5+E6),0)</f>
        <v>17.379822091394875</v>
      </c>
      <c r="F8" s="21">
        <f>MAX((F5+F6),0)</f>
        <v>4760.7347786184273</v>
      </c>
      <c r="G8" s="21"/>
      <c r="H8" s="21"/>
      <c r="I8" s="21"/>
      <c r="J8" s="21">
        <f>MAX((J5+J6),0)</f>
        <v>287.67007111749672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0.20870638420983575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391.61258955684372</v>
      </c>
      <c r="C12" s="23">
        <f ca="1">C8*C10</f>
        <v>0</v>
      </c>
      <c r="D12" s="23">
        <f>D8*D10</f>
        <v>192.19909568767363</v>
      </c>
      <c r="E12" s="23">
        <f>E8*E10</f>
        <v>3.9452196147466365</v>
      </c>
      <c r="F12" s="23">
        <f>F8*F10</f>
        <v>1271.1161858911203</v>
      </c>
      <c r="G12" s="23"/>
      <c r="H12" s="23"/>
      <c r="I12" s="23"/>
      <c r="J12" s="23">
        <f>J8*J10</f>
        <v>101.83520517559383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0.26678152095640206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160.24652909684616</v>
      </c>
      <c r="C26" s="247">
        <f>B26*'GWP N2O_CH4'!B5</f>
        <v>3365.1771110337695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45.386847029727249</v>
      </c>
      <c r="C27" s="247">
        <f>B27*'GWP N2O_CH4'!B5</f>
        <v>953.12378762427227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2.0429207638168747</v>
      </c>
      <c r="C28" s="247">
        <f>B28*'GWP N2O_CH4'!B4</f>
        <v>633.30543678323113</v>
      </c>
      <c r="D28" s="50"/>
    </row>
    <row r="29" spans="1:4">
      <c r="A29" s="41" t="s">
        <v>276</v>
      </c>
      <c r="B29" s="247">
        <f>B34*'ha_N2O bodem landbouw'!B4</f>
        <v>16.787780206286662</v>
      </c>
      <c r="C29" s="247">
        <f>B29*'GWP N2O_CH4'!B4</f>
        <v>5204.2118639488654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3.7652033447358418E-3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2.4576351504655231E-4</v>
      </c>
      <c r="C5" s="438" t="s">
        <v>210</v>
      </c>
      <c r="D5" s="423">
        <f>SUM(D6:D11)</f>
        <v>4.9643901045376003E-4</v>
      </c>
      <c r="E5" s="423">
        <f>SUM(E6:E11)</f>
        <v>5.212346948066336E-3</v>
      </c>
      <c r="F5" s="436" t="s">
        <v>210</v>
      </c>
      <c r="G5" s="423">
        <f>SUM(G6:G11)</f>
        <v>1.7543838795349846</v>
      </c>
      <c r="H5" s="423">
        <f>SUM(H6:H11)</f>
        <v>0.30644420096298047</v>
      </c>
      <c r="I5" s="438" t="s">
        <v>210</v>
      </c>
      <c r="J5" s="438" t="s">
        <v>210</v>
      </c>
      <c r="K5" s="438" t="s">
        <v>210</v>
      </c>
      <c r="L5" s="438" t="s">
        <v>210</v>
      </c>
      <c r="M5" s="423">
        <f>SUM(M6:M11)</f>
        <v>0.11106160564103214</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7.8598574428171935E-5</v>
      </c>
      <c r="C6" s="424"/>
      <c r="D6" s="866">
        <f>vkm_GW_PW*SUMIFS(TableVerdeelsleutelVkm[CNG],TableVerdeelsleutelVkm[Voertuigtype],"Lichte voertuigen")*SUMIFS(TableECFTransport[EnergieConsumptieFactor (PJ per km)],TableECFTransport[Index],CONCATENATE($A6,"_CNG_CNG"))</f>
        <v>1.371532931045126E-4</v>
      </c>
      <c r="E6" s="866">
        <f>vkm_GW_PW*SUMIFS(TableVerdeelsleutelVkm[LPG],TableVerdeelsleutelVkm[Voertuigtype],"Lichte voertuigen")*SUMIFS(TableECFTransport[EnergieConsumptieFactor (PJ per km)],TableECFTransport[Index],CONCATENATE($A6,"_LPG_LPG"))</f>
        <v>1.3283970644676934E-3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0.31219616778922332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8.399188632510321E-2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2.0662238213077826E-2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0.18803754639891468</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3.6466457220159911E-6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1.0901991832730468E-2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5.2347036048776295E-5</v>
      </c>
      <c r="C8" s="424"/>
      <c r="D8" s="426">
        <f>vkm_NGW_PW*SUMIFS(TableVerdeelsleutelVkm[CNG],TableVerdeelsleutelVkm[Voertuigtype],"Lichte voertuigen")*SUMIFS(TableECFTransport[EnergieConsumptieFactor (PJ per km)],TableECFTransport[Index],CONCATENATE($A8,"_CNG_CNG"))</f>
        <v>1.56415643811991E-4</v>
      </c>
      <c r="E8" s="426">
        <f>vkm_NGW_PW*SUMIFS(TableVerdeelsleutelVkm[LPG],TableVerdeelsleutelVkm[Voertuigtype],"Lichte voertuigen")*SUMIFS(TableECFTransport[EnergieConsumptieFactor (PJ per km)],TableECFTransport[Index],CONCATENATE($A8,"_LPG_LPG"))</f>
        <v>1.433691091811464E-3</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0.31627484096047598</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9.2487427803122649E-2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2.1157846578105113E-2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0.11089887984064807</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2.6639891630585452E-6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6.4296819949333107E-3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1.1481790456960408E-4</v>
      </c>
      <c r="C10" s="424"/>
      <c r="D10" s="426">
        <f>vkm_SW_PW*SUMIFS(TableVerdeelsleutelVkm[CNG],TableVerdeelsleutelVkm[Voertuigtype],"Lichte voertuigen")*SUMIFS(TableECFTransport[EnergieConsumptieFactor (PJ per km)],TableECFTransport[Index],CONCATENATE($A10,"_CNG_CNG"))</f>
        <v>2.0287007353725638E-4</v>
      </c>
      <c r="E10" s="426">
        <f>vkm_SW_PW*SUMIFS(TableVerdeelsleutelVkm[LPG],TableVerdeelsleutelVkm[Voertuigtype],"Lichte voertuigen")*SUMIFS(TableECFTransport[EnergieConsumptieFactor (PJ per km)],TableECFTransport[Index],CONCATENATE($A10,"_LPG_LPG"))</f>
        <v>2.4502587917871787E-3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0.51779134201196786</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0.12995220518964715</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3.3983982333727292E-2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0.30918510253375453</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6.3710102223983542E-6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1.7925864688458127E-2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68.267643068486748</v>
      </c>
      <c r="C14" s="21"/>
      <c r="D14" s="21">
        <f t="shared" ref="D14:M14" si="0">((D5)*10^9/3600)+D12</f>
        <v>137.89972512604444</v>
      </c>
      <c r="E14" s="21">
        <f t="shared" si="0"/>
        <v>1447.874152240649</v>
      </c>
      <c r="F14" s="21"/>
      <c r="G14" s="21">
        <f t="shared" si="0"/>
        <v>487328.8554263846</v>
      </c>
      <c r="H14" s="21">
        <f t="shared" si="0"/>
        <v>85123.389156383462</v>
      </c>
      <c r="I14" s="21"/>
      <c r="J14" s="21"/>
      <c r="K14" s="21"/>
      <c r="L14" s="21"/>
      <c r="M14" s="21">
        <f t="shared" si="0"/>
        <v>30850.446011397817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0.20870638420983575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14.247892943351525</v>
      </c>
      <c r="C18" s="23"/>
      <c r="D18" s="23">
        <f t="shared" ref="D18:M18" si="1">D14*D16</f>
        <v>27.85574447546098</v>
      </c>
      <c r="E18" s="23">
        <f t="shared" si="1"/>
        <v>328.66743255862735</v>
      </c>
      <c r="F18" s="23"/>
      <c r="G18" s="23">
        <f t="shared" si="1"/>
        <v>130116.8043988447</v>
      </c>
      <c r="H18" s="23">
        <f t="shared" si="1"/>
        <v>21195.723899939483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3.8138415061305199E-2</v>
      </c>
      <c r="H50" s="319">
        <f t="shared" si="2"/>
        <v>0</v>
      </c>
      <c r="I50" s="319">
        <f t="shared" si="2"/>
        <v>0</v>
      </c>
      <c r="J50" s="319">
        <f t="shared" si="2"/>
        <v>0</v>
      </c>
      <c r="K50" s="319">
        <f t="shared" si="2"/>
        <v>0</v>
      </c>
      <c r="L50" s="319">
        <f t="shared" si="2"/>
        <v>0</v>
      </c>
      <c r="M50" s="319">
        <f t="shared" si="2"/>
        <v>2.1798757227093962E-3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3.8138415061305199E-2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2.1798757227093962E-3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10594.00418369589</v>
      </c>
      <c r="H54" s="21">
        <f t="shared" si="3"/>
        <v>0</v>
      </c>
      <c r="I54" s="21">
        <f t="shared" si="3"/>
        <v>0</v>
      </c>
      <c r="J54" s="21">
        <f t="shared" si="3"/>
        <v>0</v>
      </c>
      <c r="K54" s="21">
        <f t="shared" si="3"/>
        <v>0</v>
      </c>
      <c r="L54" s="21">
        <f t="shared" si="3"/>
        <v>0</v>
      </c>
      <c r="M54" s="21">
        <f t="shared" si="3"/>
        <v>605.52103408594348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0.20870638420983575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2828.5991170468028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115311.70000000001</v>
      </c>
      <c r="D10" s="991">
        <f ca="1">tertiair!C16</f>
        <v>0</v>
      </c>
      <c r="E10" s="991">
        <f ca="1">tertiair!D16</f>
        <v>132901.91359206301</v>
      </c>
      <c r="F10" s="991">
        <f>tertiair!E16</f>
        <v>1192.2508603424478</v>
      </c>
      <c r="G10" s="991">
        <f ca="1">tertiair!F16</f>
        <v>16287.619815769545</v>
      </c>
      <c r="H10" s="991">
        <f>tertiair!G16</f>
        <v>0</v>
      </c>
      <c r="I10" s="991">
        <f>tertiair!H16</f>
        <v>0</v>
      </c>
      <c r="J10" s="991">
        <f>tertiair!I16</f>
        <v>0</v>
      </c>
      <c r="K10" s="991">
        <f>tertiair!J16</f>
        <v>0</v>
      </c>
      <c r="L10" s="991">
        <f>tertiair!K16</f>
        <v>0</v>
      </c>
      <c r="M10" s="991">
        <f ca="1">tertiair!L16</f>
        <v>0</v>
      </c>
      <c r="N10" s="991">
        <f>tertiair!M16</f>
        <v>0</v>
      </c>
      <c r="O10" s="991">
        <f ca="1">tertiair!N16</f>
        <v>6380.4924783365805</v>
      </c>
      <c r="P10" s="991">
        <f>tertiair!O16</f>
        <v>9.3800000000000008</v>
      </c>
      <c r="Q10" s="992">
        <f>tertiair!P16</f>
        <v>133.46666666666667</v>
      </c>
      <c r="R10" s="675">
        <f ca="1">SUM(C10:Q10)</f>
        <v>272216.82341317821</v>
      </c>
      <c r="S10" s="67"/>
    </row>
    <row r="11" spans="1:19" s="448" customFormat="1">
      <c r="A11" s="784" t="s">
        <v>224</v>
      </c>
      <c r="B11" s="789"/>
      <c r="C11" s="991">
        <f>huishoudens!B8</f>
        <v>149263.25826216952</v>
      </c>
      <c r="D11" s="991">
        <f>huishoudens!C8</f>
        <v>0</v>
      </c>
      <c r="E11" s="991">
        <f>huishoudens!D8</f>
        <v>317161.73572648724</v>
      </c>
      <c r="F11" s="991">
        <f>huishoudens!E8</f>
        <v>79361.708974790818</v>
      </c>
      <c r="G11" s="991">
        <f>huishoudens!F8</f>
        <v>45830.034965180705</v>
      </c>
      <c r="H11" s="991">
        <f>huishoudens!G8</f>
        <v>0</v>
      </c>
      <c r="I11" s="991">
        <f>huishoudens!H8</f>
        <v>0</v>
      </c>
      <c r="J11" s="991">
        <f>huishoudens!I8</f>
        <v>0</v>
      </c>
      <c r="K11" s="991">
        <f>huishoudens!J8</f>
        <v>3432.557061641452</v>
      </c>
      <c r="L11" s="991">
        <f>huishoudens!K8</f>
        <v>0</v>
      </c>
      <c r="M11" s="991">
        <f>huishoudens!L8</f>
        <v>0</v>
      </c>
      <c r="N11" s="991">
        <f>huishoudens!M8</f>
        <v>0</v>
      </c>
      <c r="O11" s="991">
        <f>huishoudens!N8</f>
        <v>40928.886999676586</v>
      </c>
      <c r="P11" s="991">
        <f>huishoudens!O8</f>
        <v>548.73</v>
      </c>
      <c r="Q11" s="992">
        <f>huishoudens!P8</f>
        <v>1677.8666666666668</v>
      </c>
      <c r="R11" s="675">
        <f>SUM(C11:Q11)</f>
        <v>638204.77865661308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89353.014770000009</v>
      </c>
      <c r="D13" s="991">
        <f>industrie!C18</f>
        <v>0</v>
      </c>
      <c r="E13" s="991">
        <f>industrie!D18</f>
        <v>158993.71909723827</v>
      </c>
      <c r="F13" s="991">
        <f>industrie!E18</f>
        <v>8759.8870135354082</v>
      </c>
      <c r="G13" s="991">
        <f>industrie!F18</f>
        <v>47355.009880579899</v>
      </c>
      <c r="H13" s="991">
        <f>industrie!G18</f>
        <v>0</v>
      </c>
      <c r="I13" s="991">
        <f>industrie!H18</f>
        <v>0</v>
      </c>
      <c r="J13" s="991">
        <f>industrie!I18</f>
        <v>0</v>
      </c>
      <c r="K13" s="991">
        <f>industrie!J18</f>
        <v>456.71722658846204</v>
      </c>
      <c r="L13" s="991">
        <f>industrie!K18</f>
        <v>0</v>
      </c>
      <c r="M13" s="991">
        <f>industrie!L18</f>
        <v>0</v>
      </c>
      <c r="N13" s="991">
        <f>industrie!M18</f>
        <v>0</v>
      </c>
      <c r="O13" s="991">
        <f>industrie!N18</f>
        <v>9646.1618782914466</v>
      </c>
      <c r="P13" s="991">
        <f>industrie!O18</f>
        <v>0</v>
      </c>
      <c r="Q13" s="992">
        <f>industrie!P18</f>
        <v>0</v>
      </c>
      <c r="R13" s="675">
        <f>SUM(C13:Q13)</f>
        <v>314564.50986623351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353927.97303216951</v>
      </c>
      <c r="D16" s="707">
        <f t="shared" ref="D16:R16" ca="1" si="0">SUM(D9:D15)</f>
        <v>0</v>
      </c>
      <c r="E16" s="707">
        <f t="shared" ca="1" si="0"/>
        <v>609057.36841578851</v>
      </c>
      <c r="F16" s="707">
        <f t="shared" si="0"/>
        <v>89313.846848668676</v>
      </c>
      <c r="G16" s="707">
        <f t="shared" ca="1" si="0"/>
        <v>109472.66466153014</v>
      </c>
      <c r="H16" s="707">
        <f t="shared" si="0"/>
        <v>0</v>
      </c>
      <c r="I16" s="707">
        <f t="shared" si="0"/>
        <v>0</v>
      </c>
      <c r="J16" s="707">
        <f t="shared" si="0"/>
        <v>0</v>
      </c>
      <c r="K16" s="707">
        <f t="shared" si="0"/>
        <v>3889.274288229914</v>
      </c>
      <c r="L16" s="707">
        <f t="shared" si="0"/>
        <v>0</v>
      </c>
      <c r="M16" s="707">
        <f t="shared" ca="1" si="0"/>
        <v>0</v>
      </c>
      <c r="N16" s="707">
        <f t="shared" si="0"/>
        <v>0</v>
      </c>
      <c r="O16" s="707">
        <f t="shared" ca="1" si="0"/>
        <v>56955.54135630461</v>
      </c>
      <c r="P16" s="707">
        <f t="shared" si="0"/>
        <v>558.11</v>
      </c>
      <c r="Q16" s="707">
        <f t="shared" si="0"/>
        <v>1811.3333333333335</v>
      </c>
      <c r="R16" s="707">
        <f t="shared" ca="1" si="0"/>
        <v>1224986.1119360249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10594.00418369589</v>
      </c>
      <c r="I19" s="991">
        <f>transport!H54</f>
        <v>0</v>
      </c>
      <c r="J19" s="991">
        <f>transport!I54</f>
        <v>0</v>
      </c>
      <c r="K19" s="991">
        <f>transport!J54</f>
        <v>0</v>
      </c>
      <c r="L19" s="991">
        <f>transport!K54</f>
        <v>0</v>
      </c>
      <c r="M19" s="991">
        <f>transport!L54</f>
        <v>0</v>
      </c>
      <c r="N19" s="991">
        <f>transport!M54</f>
        <v>605.52103408594348</v>
      </c>
      <c r="O19" s="991">
        <f>transport!N54</f>
        <v>0</v>
      </c>
      <c r="P19" s="991">
        <f>transport!O54</f>
        <v>0</v>
      </c>
      <c r="Q19" s="992">
        <f>transport!P54</f>
        <v>0</v>
      </c>
      <c r="R19" s="675">
        <f>SUM(C19:Q19)</f>
        <v>11199.525217781833</v>
      </c>
      <c r="S19" s="67"/>
    </row>
    <row r="20" spans="1:19" s="448" customFormat="1">
      <c r="A20" s="784" t="s">
        <v>306</v>
      </c>
      <c r="B20" s="789"/>
      <c r="C20" s="991">
        <f>transport!B14</f>
        <v>68.267643068486748</v>
      </c>
      <c r="D20" s="991">
        <f>transport!C14</f>
        <v>0</v>
      </c>
      <c r="E20" s="991">
        <f>transport!D14</f>
        <v>137.89972512604444</v>
      </c>
      <c r="F20" s="991">
        <f>transport!E14</f>
        <v>1447.874152240649</v>
      </c>
      <c r="G20" s="991">
        <f>transport!F14</f>
        <v>0</v>
      </c>
      <c r="H20" s="991">
        <f>transport!G14</f>
        <v>487328.8554263846</v>
      </c>
      <c r="I20" s="991">
        <f>transport!H14</f>
        <v>85123.389156383462</v>
      </c>
      <c r="J20" s="991">
        <f>transport!I14</f>
        <v>0</v>
      </c>
      <c r="K20" s="991">
        <f>transport!J14</f>
        <v>0</v>
      </c>
      <c r="L20" s="991">
        <f>transport!K14</f>
        <v>0</v>
      </c>
      <c r="M20" s="991">
        <f>transport!L14</f>
        <v>0</v>
      </c>
      <c r="N20" s="991">
        <f>transport!M14</f>
        <v>30850.446011397817</v>
      </c>
      <c r="O20" s="991">
        <f>transport!N14</f>
        <v>0</v>
      </c>
      <c r="P20" s="991">
        <f>transport!O14</f>
        <v>0</v>
      </c>
      <c r="Q20" s="992">
        <f>transport!P14</f>
        <v>0</v>
      </c>
      <c r="R20" s="675">
        <f>SUM(C20:Q20)</f>
        <v>604956.73211460107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68.267643068486748</v>
      </c>
      <c r="D22" s="787">
        <f t="shared" ref="D22:R22" si="1">SUM(D18:D21)</f>
        <v>0</v>
      </c>
      <c r="E22" s="787">
        <f t="shared" si="1"/>
        <v>137.89972512604444</v>
      </c>
      <c r="F22" s="787">
        <f t="shared" si="1"/>
        <v>1447.874152240649</v>
      </c>
      <c r="G22" s="787">
        <f t="shared" si="1"/>
        <v>0</v>
      </c>
      <c r="H22" s="787">
        <f t="shared" si="1"/>
        <v>497922.85961008049</v>
      </c>
      <c r="I22" s="787">
        <f t="shared" si="1"/>
        <v>85123.389156383462</v>
      </c>
      <c r="J22" s="787">
        <f t="shared" si="1"/>
        <v>0</v>
      </c>
      <c r="K22" s="787">
        <f t="shared" si="1"/>
        <v>0</v>
      </c>
      <c r="L22" s="787">
        <f t="shared" si="1"/>
        <v>0</v>
      </c>
      <c r="M22" s="787">
        <f t="shared" si="1"/>
        <v>0</v>
      </c>
      <c r="N22" s="787">
        <f t="shared" si="1"/>
        <v>31455.967045483761</v>
      </c>
      <c r="O22" s="787">
        <f t="shared" si="1"/>
        <v>0</v>
      </c>
      <c r="P22" s="787">
        <f t="shared" si="1"/>
        <v>0</v>
      </c>
      <c r="Q22" s="787">
        <f t="shared" si="1"/>
        <v>0</v>
      </c>
      <c r="R22" s="787">
        <f t="shared" si="1"/>
        <v>616156.25733238296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1876.3805</v>
      </c>
      <c r="D24" s="991">
        <f>+landbouw!C8</f>
        <v>0</v>
      </c>
      <c r="E24" s="991">
        <f>+landbouw!D8</f>
        <v>951.48067172115657</v>
      </c>
      <c r="F24" s="991">
        <f>+landbouw!E8</f>
        <v>17.379822091394875</v>
      </c>
      <c r="G24" s="991">
        <f>+landbouw!F8</f>
        <v>4760.7347786184273</v>
      </c>
      <c r="H24" s="991">
        <f>+landbouw!G8</f>
        <v>0</v>
      </c>
      <c r="I24" s="991">
        <f>+landbouw!H8</f>
        <v>0</v>
      </c>
      <c r="J24" s="991">
        <f>+landbouw!I8</f>
        <v>0</v>
      </c>
      <c r="K24" s="991">
        <f>+landbouw!J8</f>
        <v>287.67007111749672</v>
      </c>
      <c r="L24" s="991">
        <f>+landbouw!K8</f>
        <v>0</v>
      </c>
      <c r="M24" s="991">
        <f>+landbouw!L8</f>
        <v>0</v>
      </c>
      <c r="N24" s="991">
        <f>+landbouw!M8</f>
        <v>0</v>
      </c>
      <c r="O24" s="991">
        <f>+landbouw!N8</f>
        <v>0</v>
      </c>
      <c r="P24" s="991">
        <f>+landbouw!O8</f>
        <v>0</v>
      </c>
      <c r="Q24" s="992">
        <f>+landbouw!P8</f>
        <v>0</v>
      </c>
      <c r="R24" s="675">
        <f>SUM(C24:Q24)</f>
        <v>7893.6458435484747</v>
      </c>
      <c r="S24" s="67"/>
    </row>
    <row r="25" spans="1:19" s="448" customFormat="1" ht="15" thickBot="1">
      <c r="A25" s="806" t="s">
        <v>849</v>
      </c>
      <c r="B25" s="994"/>
      <c r="C25" s="995">
        <f>IF(Onbekend_ele_kWh="---",0,Onbekend_ele_kWh)/1000+IF(REST_rest_ele_kWh="---",0,REST_rest_ele_kWh)/1000</f>
        <v>22839.171999999999</v>
      </c>
      <c r="D25" s="995"/>
      <c r="E25" s="995">
        <f>IF(onbekend_gas_kWh="---",0,onbekend_gas_kWh)/1000+IF(REST_rest_gas_kWh="---",0,REST_rest_gas_kWh)/1000</f>
        <v>36802.345643751702</v>
      </c>
      <c r="F25" s="995"/>
      <c r="G25" s="995"/>
      <c r="H25" s="995"/>
      <c r="I25" s="995"/>
      <c r="J25" s="995"/>
      <c r="K25" s="995"/>
      <c r="L25" s="995"/>
      <c r="M25" s="995"/>
      <c r="N25" s="995"/>
      <c r="O25" s="995"/>
      <c r="P25" s="995"/>
      <c r="Q25" s="996"/>
      <c r="R25" s="675">
        <f>SUM(C25:Q25)</f>
        <v>59641.5176437517</v>
      </c>
      <c r="S25" s="67"/>
    </row>
    <row r="26" spans="1:19" s="448" customFormat="1" ht="15.75" thickBot="1">
      <c r="A26" s="680" t="s">
        <v>850</v>
      </c>
      <c r="B26" s="792"/>
      <c r="C26" s="787">
        <f>SUM(C24:C25)</f>
        <v>24715.552499999998</v>
      </c>
      <c r="D26" s="787">
        <f t="shared" ref="D26:R26" si="2">SUM(D24:D25)</f>
        <v>0</v>
      </c>
      <c r="E26" s="787">
        <f t="shared" si="2"/>
        <v>37753.826315472856</v>
      </c>
      <c r="F26" s="787">
        <f t="shared" si="2"/>
        <v>17.379822091394875</v>
      </c>
      <c r="G26" s="787">
        <f t="shared" si="2"/>
        <v>4760.7347786184273</v>
      </c>
      <c r="H26" s="787">
        <f t="shared" si="2"/>
        <v>0</v>
      </c>
      <c r="I26" s="787">
        <f t="shared" si="2"/>
        <v>0</v>
      </c>
      <c r="J26" s="787">
        <f t="shared" si="2"/>
        <v>0</v>
      </c>
      <c r="K26" s="787">
        <f t="shared" si="2"/>
        <v>287.67007111749672</v>
      </c>
      <c r="L26" s="787">
        <f t="shared" si="2"/>
        <v>0</v>
      </c>
      <c r="M26" s="787">
        <f t="shared" si="2"/>
        <v>0</v>
      </c>
      <c r="N26" s="787">
        <f t="shared" si="2"/>
        <v>0</v>
      </c>
      <c r="O26" s="787">
        <f t="shared" si="2"/>
        <v>0</v>
      </c>
      <c r="P26" s="787">
        <f t="shared" si="2"/>
        <v>0</v>
      </c>
      <c r="Q26" s="787">
        <f t="shared" si="2"/>
        <v>0</v>
      </c>
      <c r="R26" s="787">
        <f t="shared" si="2"/>
        <v>67535.163487300175</v>
      </c>
      <c r="S26" s="67"/>
    </row>
    <row r="27" spans="1:19" s="448" customFormat="1" ht="17.25" thickTop="1" thickBot="1">
      <c r="A27" s="681" t="s">
        <v>115</v>
      </c>
      <c r="B27" s="780"/>
      <c r="C27" s="682">
        <f ca="1">C22+C16+C26</f>
        <v>378711.79317523801</v>
      </c>
      <c r="D27" s="682">
        <f t="shared" ref="D27:R27" ca="1" si="3">D22+D16+D26</f>
        <v>0</v>
      </c>
      <c r="E27" s="682">
        <f t="shared" ca="1" si="3"/>
        <v>646949.09445638745</v>
      </c>
      <c r="F27" s="682">
        <f t="shared" si="3"/>
        <v>90779.100823000714</v>
      </c>
      <c r="G27" s="682">
        <f t="shared" ca="1" si="3"/>
        <v>114233.39944014857</v>
      </c>
      <c r="H27" s="682">
        <f t="shared" si="3"/>
        <v>497922.85961008049</v>
      </c>
      <c r="I27" s="682">
        <f t="shared" si="3"/>
        <v>85123.389156383462</v>
      </c>
      <c r="J27" s="682">
        <f t="shared" si="3"/>
        <v>0</v>
      </c>
      <c r="K27" s="682">
        <f t="shared" si="3"/>
        <v>4176.9443593474107</v>
      </c>
      <c r="L27" s="682">
        <f t="shared" si="3"/>
        <v>0</v>
      </c>
      <c r="M27" s="682">
        <f t="shared" ca="1" si="3"/>
        <v>0</v>
      </c>
      <c r="N27" s="682">
        <f t="shared" si="3"/>
        <v>31455.967045483761</v>
      </c>
      <c r="O27" s="682">
        <f t="shared" ca="1" si="3"/>
        <v>56955.54135630461</v>
      </c>
      <c r="P27" s="682">
        <f t="shared" si="3"/>
        <v>558.11</v>
      </c>
      <c r="Q27" s="682">
        <f t="shared" si="3"/>
        <v>1811.3333333333335</v>
      </c>
      <c r="R27" s="682">
        <f t="shared" ca="1" si="3"/>
        <v>1908677.5327557081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24066.287964089319</v>
      </c>
      <c r="D40" s="991">
        <f ca="1">tertiair!C20</f>
        <v>0</v>
      </c>
      <c r="E40" s="991">
        <f ca="1">tertiair!D20</f>
        <v>26846.186545596731</v>
      </c>
      <c r="F40" s="991">
        <f>tertiair!E20</f>
        <v>270.64094529773564</v>
      </c>
      <c r="G40" s="991">
        <f ca="1">tertiair!F20</f>
        <v>4348.7944908104691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55531.909945794258</v>
      </c>
    </row>
    <row r="41" spans="1:18">
      <c r="A41" s="797" t="s">
        <v>224</v>
      </c>
      <c r="B41" s="804"/>
      <c r="C41" s="991">
        <f ca="1">huishoudens!B12</f>
        <v>31152.194927276294</v>
      </c>
      <c r="D41" s="991">
        <f ca="1">huishoudens!C12</f>
        <v>0</v>
      </c>
      <c r="E41" s="991">
        <f>huishoudens!D12</f>
        <v>64066.670616750424</v>
      </c>
      <c r="F41" s="991">
        <f>huishoudens!E12</f>
        <v>18015.107937277517</v>
      </c>
      <c r="G41" s="991">
        <f>huishoudens!F12</f>
        <v>12236.619335703248</v>
      </c>
      <c r="H41" s="991">
        <f>huishoudens!G12</f>
        <v>0</v>
      </c>
      <c r="I41" s="991">
        <f>huishoudens!H12</f>
        <v>0</v>
      </c>
      <c r="J41" s="991">
        <f>huishoudens!I12</f>
        <v>0</v>
      </c>
      <c r="K41" s="991">
        <f>huishoudens!J12</f>
        <v>1215.1251998210739</v>
      </c>
      <c r="L41" s="991">
        <f>huishoudens!K12</f>
        <v>0</v>
      </c>
      <c r="M41" s="991">
        <f>huishoudens!L12</f>
        <v>0</v>
      </c>
      <c r="N41" s="991">
        <f>huishoudens!M12</f>
        <v>0</v>
      </c>
      <c r="O41" s="991">
        <f>huishoudens!N12</f>
        <v>0</v>
      </c>
      <c r="P41" s="991">
        <f>huishoudens!O12</f>
        <v>0</v>
      </c>
      <c r="Q41" s="749">
        <f>huishoudens!P12</f>
        <v>0</v>
      </c>
      <c r="R41" s="825">
        <f t="shared" ca="1" si="4"/>
        <v>126685.71801682856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18648.54463089475</v>
      </c>
      <c r="D43" s="991">
        <f ca="1">industrie!C22</f>
        <v>0</v>
      </c>
      <c r="E43" s="991">
        <f>industrie!D22</f>
        <v>32116.731257642132</v>
      </c>
      <c r="F43" s="991">
        <f>industrie!E22</f>
        <v>1988.4943520725378</v>
      </c>
      <c r="G43" s="991">
        <f>industrie!F22</f>
        <v>12643.787638114834</v>
      </c>
      <c r="H43" s="991">
        <f>industrie!G22</f>
        <v>0</v>
      </c>
      <c r="I43" s="991">
        <f>industrie!H22</f>
        <v>0</v>
      </c>
      <c r="J43" s="991">
        <f>industrie!I22</f>
        <v>0</v>
      </c>
      <c r="K43" s="991">
        <f>industrie!J22</f>
        <v>161.67789821231554</v>
      </c>
      <c r="L43" s="991">
        <f>industrie!K22</f>
        <v>0</v>
      </c>
      <c r="M43" s="991">
        <f>industrie!L22</f>
        <v>0</v>
      </c>
      <c r="N43" s="991">
        <f>industrie!M22</f>
        <v>0</v>
      </c>
      <c r="O43" s="991">
        <f>industrie!N22</f>
        <v>0</v>
      </c>
      <c r="P43" s="991">
        <f>industrie!O22</f>
        <v>0</v>
      </c>
      <c r="Q43" s="749">
        <f>industrie!P22</f>
        <v>0</v>
      </c>
      <c r="R43" s="824">
        <f t="shared" ca="1" si="4"/>
        <v>65559.235776936577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73867.027522260352</v>
      </c>
      <c r="D46" s="707">
        <f t="shared" ref="D46:Q46" ca="1" si="5">SUM(D39:D45)</f>
        <v>0</v>
      </c>
      <c r="E46" s="707">
        <f t="shared" ca="1" si="5"/>
        <v>123029.58841998928</v>
      </c>
      <c r="F46" s="707">
        <f t="shared" si="5"/>
        <v>20274.243234647791</v>
      </c>
      <c r="G46" s="707">
        <f t="shared" ca="1" si="5"/>
        <v>29229.20146462855</v>
      </c>
      <c r="H46" s="707">
        <f t="shared" si="5"/>
        <v>0</v>
      </c>
      <c r="I46" s="707">
        <f t="shared" si="5"/>
        <v>0</v>
      </c>
      <c r="J46" s="707">
        <f t="shared" si="5"/>
        <v>0</v>
      </c>
      <c r="K46" s="707">
        <f t="shared" si="5"/>
        <v>1376.8030980333895</v>
      </c>
      <c r="L46" s="707">
        <f t="shared" si="5"/>
        <v>0</v>
      </c>
      <c r="M46" s="707">
        <f t="shared" ca="1" si="5"/>
        <v>0</v>
      </c>
      <c r="N46" s="707">
        <f t="shared" si="5"/>
        <v>0</v>
      </c>
      <c r="O46" s="707">
        <f t="shared" ca="1" si="5"/>
        <v>0</v>
      </c>
      <c r="P46" s="707">
        <f t="shared" si="5"/>
        <v>0</v>
      </c>
      <c r="Q46" s="707">
        <f t="shared" si="5"/>
        <v>0</v>
      </c>
      <c r="R46" s="707">
        <f ca="1">SUM(R39:R45)</f>
        <v>247776.8637395594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2828.5991170468028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2828.5991170468028</v>
      </c>
    </row>
    <row r="50" spans="1:18">
      <c r="A50" s="800" t="s">
        <v>306</v>
      </c>
      <c r="B50" s="810"/>
      <c r="C50" s="678">
        <f ca="1">transport!B18</f>
        <v>14.247892943351525</v>
      </c>
      <c r="D50" s="678">
        <f>transport!C18</f>
        <v>0</v>
      </c>
      <c r="E50" s="678">
        <f>transport!D18</f>
        <v>27.85574447546098</v>
      </c>
      <c r="F50" s="678">
        <f>transport!E18</f>
        <v>328.66743255862735</v>
      </c>
      <c r="G50" s="678">
        <f>transport!F18</f>
        <v>0</v>
      </c>
      <c r="H50" s="678">
        <f>transport!G18</f>
        <v>130116.8043988447</v>
      </c>
      <c r="I50" s="678">
        <f>transport!H18</f>
        <v>21195.723899939483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151683.29936876163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14.247892943351525</v>
      </c>
      <c r="D52" s="707">
        <f t="shared" ref="D52:Q52" ca="1" si="6">SUM(D48:D51)</f>
        <v>0</v>
      </c>
      <c r="E52" s="707">
        <f t="shared" si="6"/>
        <v>27.85574447546098</v>
      </c>
      <c r="F52" s="707">
        <f t="shared" si="6"/>
        <v>328.66743255862735</v>
      </c>
      <c r="G52" s="707">
        <f t="shared" si="6"/>
        <v>0</v>
      </c>
      <c r="H52" s="707">
        <f t="shared" si="6"/>
        <v>132945.40351589149</v>
      </c>
      <c r="I52" s="707">
        <f t="shared" si="6"/>
        <v>21195.723899939483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154511.89848580843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391.61258955684372</v>
      </c>
      <c r="D54" s="678">
        <f ca="1">+landbouw!C12</f>
        <v>0</v>
      </c>
      <c r="E54" s="678">
        <f>+landbouw!D12</f>
        <v>192.19909568767363</v>
      </c>
      <c r="F54" s="678">
        <f>+landbouw!E12</f>
        <v>3.9452196147466365</v>
      </c>
      <c r="G54" s="678">
        <f>+landbouw!F12</f>
        <v>1271.1161858911203</v>
      </c>
      <c r="H54" s="678">
        <f>+landbouw!G12</f>
        <v>0</v>
      </c>
      <c r="I54" s="678">
        <f>+landbouw!H12</f>
        <v>0</v>
      </c>
      <c r="J54" s="678">
        <f>+landbouw!I12</f>
        <v>0</v>
      </c>
      <c r="K54" s="678">
        <f>+landbouw!J12</f>
        <v>101.83520517559383</v>
      </c>
      <c r="L54" s="678">
        <f>+landbouw!K12</f>
        <v>0</v>
      </c>
      <c r="M54" s="678">
        <f>+landbouw!L12</f>
        <v>0</v>
      </c>
      <c r="N54" s="678">
        <f>+landbouw!M12</f>
        <v>0</v>
      </c>
      <c r="O54" s="678">
        <f>+landbouw!N12</f>
        <v>0</v>
      </c>
      <c r="P54" s="678">
        <f>+landbouw!O12</f>
        <v>0</v>
      </c>
      <c r="Q54" s="679">
        <f>+landbouw!P12</f>
        <v>0</v>
      </c>
      <c r="R54" s="706">
        <f ca="1">SUM(C54:Q54)</f>
        <v>1960.7082959259778</v>
      </c>
    </row>
    <row r="55" spans="1:18" ht="15" thickBot="1">
      <c r="A55" s="800" t="s">
        <v>849</v>
      </c>
      <c r="B55" s="810"/>
      <c r="C55" s="678">
        <f ca="1">C25*'EF ele_warmte'!B12</f>
        <v>4766.6810064665224</v>
      </c>
      <c r="D55" s="678"/>
      <c r="E55" s="678">
        <f>E25*EF_CO2_aardgas</f>
        <v>7434.0738200378446</v>
      </c>
      <c r="F55" s="678"/>
      <c r="G55" s="678"/>
      <c r="H55" s="678"/>
      <c r="I55" s="678"/>
      <c r="J55" s="678"/>
      <c r="K55" s="678"/>
      <c r="L55" s="678"/>
      <c r="M55" s="678"/>
      <c r="N55" s="678"/>
      <c r="O55" s="678"/>
      <c r="P55" s="678"/>
      <c r="Q55" s="679"/>
      <c r="R55" s="706">
        <f ca="1">SUM(C55:Q55)</f>
        <v>12200.754826504366</v>
      </c>
    </row>
    <row r="56" spans="1:18" ht="15.75" thickBot="1">
      <c r="A56" s="798" t="s">
        <v>850</v>
      </c>
      <c r="B56" s="811"/>
      <c r="C56" s="707">
        <f ca="1">SUM(C54:C55)</f>
        <v>5158.2935960233663</v>
      </c>
      <c r="D56" s="707">
        <f t="shared" ref="D56:Q56" ca="1" si="7">SUM(D54:D55)</f>
        <v>0</v>
      </c>
      <c r="E56" s="707">
        <f t="shared" si="7"/>
        <v>7626.272915725518</v>
      </c>
      <c r="F56" s="707">
        <f t="shared" si="7"/>
        <v>3.9452196147466365</v>
      </c>
      <c r="G56" s="707">
        <f t="shared" si="7"/>
        <v>1271.1161858911203</v>
      </c>
      <c r="H56" s="707">
        <f t="shared" si="7"/>
        <v>0</v>
      </c>
      <c r="I56" s="707">
        <f t="shared" si="7"/>
        <v>0</v>
      </c>
      <c r="J56" s="707">
        <f t="shared" si="7"/>
        <v>0</v>
      </c>
      <c r="K56" s="707">
        <f t="shared" si="7"/>
        <v>101.83520517559383</v>
      </c>
      <c r="L56" s="707">
        <f t="shared" si="7"/>
        <v>0</v>
      </c>
      <c r="M56" s="707">
        <f t="shared" si="7"/>
        <v>0</v>
      </c>
      <c r="N56" s="707">
        <f t="shared" si="7"/>
        <v>0</v>
      </c>
      <c r="O56" s="707">
        <f t="shared" si="7"/>
        <v>0</v>
      </c>
      <c r="P56" s="707">
        <f t="shared" si="7"/>
        <v>0</v>
      </c>
      <c r="Q56" s="708">
        <f t="shared" si="7"/>
        <v>0</v>
      </c>
      <c r="R56" s="709">
        <f ca="1">SUM(R54:R55)</f>
        <v>14161.463122430345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79039.569011227082</v>
      </c>
      <c r="D61" s="715">
        <f t="shared" ref="D61:Q61" ca="1" si="8">D46+D52+D56</f>
        <v>0</v>
      </c>
      <c r="E61" s="715">
        <f t="shared" ca="1" si="8"/>
        <v>130683.71708019025</v>
      </c>
      <c r="F61" s="715">
        <f t="shared" si="8"/>
        <v>20606.855886821166</v>
      </c>
      <c r="G61" s="715">
        <f t="shared" ca="1" si="8"/>
        <v>30500.317650519672</v>
      </c>
      <c r="H61" s="715">
        <f t="shared" si="8"/>
        <v>132945.40351589149</v>
      </c>
      <c r="I61" s="715">
        <f t="shared" si="8"/>
        <v>21195.723899939483</v>
      </c>
      <c r="J61" s="715">
        <f t="shared" si="8"/>
        <v>0</v>
      </c>
      <c r="K61" s="715">
        <f t="shared" si="8"/>
        <v>1478.6383032089832</v>
      </c>
      <c r="L61" s="715">
        <f t="shared" si="8"/>
        <v>0</v>
      </c>
      <c r="M61" s="715">
        <f t="shared" ca="1" si="8"/>
        <v>0</v>
      </c>
      <c r="N61" s="715">
        <f t="shared" si="8"/>
        <v>0</v>
      </c>
      <c r="O61" s="715">
        <f t="shared" ca="1" si="8"/>
        <v>0</v>
      </c>
      <c r="P61" s="715">
        <f t="shared" si="8"/>
        <v>0</v>
      </c>
      <c r="Q61" s="715">
        <f t="shared" si="8"/>
        <v>0</v>
      </c>
      <c r="R61" s="715">
        <f ca="1">R46+R52+R56</f>
        <v>416450.2253477982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0.20870638420983575</v>
      </c>
      <c r="D63" s="756">
        <f t="shared" ca="1" si="9"/>
        <v>0</v>
      </c>
      <c r="E63" s="1002">
        <f t="shared" ca="1" si="9"/>
        <v>0.20199999999999999</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21066.684527151618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21066.684527151618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21066.684527151618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21066.684527151618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149263.25826216952</v>
      </c>
      <c r="C4" s="452">
        <f>huishoudens!C8</f>
        <v>0</v>
      </c>
      <c r="D4" s="452">
        <f>huishoudens!D8</f>
        <v>317161.73572648724</v>
      </c>
      <c r="E4" s="452">
        <f>huishoudens!E8</f>
        <v>79361.708974790818</v>
      </c>
      <c r="F4" s="452">
        <f>huishoudens!F8</f>
        <v>45830.034965180705</v>
      </c>
      <c r="G4" s="452">
        <f>huishoudens!G8</f>
        <v>0</v>
      </c>
      <c r="H4" s="452">
        <f>huishoudens!H8</f>
        <v>0</v>
      </c>
      <c r="I4" s="452">
        <f>huishoudens!I8</f>
        <v>0</v>
      </c>
      <c r="J4" s="452">
        <f>huishoudens!J8</f>
        <v>3432.557061641452</v>
      </c>
      <c r="K4" s="452">
        <f>huishoudens!K8</f>
        <v>0</v>
      </c>
      <c r="L4" s="452">
        <f>huishoudens!L8</f>
        <v>0</v>
      </c>
      <c r="M4" s="452">
        <f>huishoudens!M8</f>
        <v>0</v>
      </c>
      <c r="N4" s="452">
        <f>huishoudens!N8</f>
        <v>40928.886999676586</v>
      </c>
      <c r="O4" s="452">
        <f>huishoudens!O8</f>
        <v>548.73</v>
      </c>
      <c r="P4" s="453">
        <f>huishoudens!P8</f>
        <v>1677.8666666666668</v>
      </c>
      <c r="Q4" s="454">
        <f>SUM(B4:P4)</f>
        <v>638204.77865661308</v>
      </c>
    </row>
    <row r="5" spans="1:17">
      <c r="A5" s="451" t="s">
        <v>155</v>
      </c>
      <c r="B5" s="452">
        <f ca="1">tertiair!B16</f>
        <v>110968.15700000001</v>
      </c>
      <c r="C5" s="452">
        <f ca="1">tertiair!C16</f>
        <v>0</v>
      </c>
      <c r="D5" s="452">
        <f ca="1">tertiair!D16</f>
        <v>132901.91359206301</v>
      </c>
      <c r="E5" s="452">
        <f>tertiair!E16</f>
        <v>1192.2508603424478</v>
      </c>
      <c r="F5" s="452">
        <f ca="1">tertiair!F16</f>
        <v>16287.619815769545</v>
      </c>
      <c r="G5" s="452">
        <f>tertiair!G16</f>
        <v>0</v>
      </c>
      <c r="H5" s="452">
        <f>tertiair!H16</f>
        <v>0</v>
      </c>
      <c r="I5" s="452">
        <f>tertiair!I16</f>
        <v>0</v>
      </c>
      <c r="J5" s="452">
        <f>tertiair!J16</f>
        <v>0</v>
      </c>
      <c r="K5" s="452">
        <f>tertiair!K16</f>
        <v>0</v>
      </c>
      <c r="L5" s="452">
        <f ca="1">tertiair!L16</f>
        <v>0</v>
      </c>
      <c r="M5" s="452">
        <f>tertiair!M16</f>
        <v>0</v>
      </c>
      <c r="N5" s="452">
        <f ca="1">tertiair!N16</f>
        <v>6380.4924783365805</v>
      </c>
      <c r="O5" s="452">
        <f>tertiair!O16</f>
        <v>9.3800000000000008</v>
      </c>
      <c r="P5" s="453">
        <f>tertiair!P16</f>
        <v>133.46666666666667</v>
      </c>
      <c r="Q5" s="451">
        <f t="shared" ref="Q5:Q14" ca="1" si="0">SUM(B5:P5)</f>
        <v>267873.28041317826</v>
      </c>
    </row>
    <row r="6" spans="1:17">
      <c r="A6" s="451" t="s">
        <v>193</v>
      </c>
      <c r="B6" s="452">
        <f>'openbare verlichting'!B8</f>
        <v>4343.5429999999997</v>
      </c>
      <c r="C6" s="452"/>
      <c r="D6" s="452"/>
      <c r="E6" s="452"/>
      <c r="F6" s="452"/>
      <c r="G6" s="452"/>
      <c r="H6" s="452"/>
      <c r="I6" s="452"/>
      <c r="J6" s="452"/>
      <c r="K6" s="452"/>
      <c r="L6" s="452"/>
      <c r="M6" s="452"/>
      <c r="N6" s="452"/>
      <c r="O6" s="452"/>
      <c r="P6" s="453"/>
      <c r="Q6" s="451">
        <f t="shared" si="0"/>
        <v>4343.5429999999997</v>
      </c>
    </row>
    <row r="7" spans="1:17">
      <c r="A7" s="451" t="s">
        <v>111</v>
      </c>
      <c r="B7" s="452">
        <f>landbouw!B8</f>
        <v>1876.3805</v>
      </c>
      <c r="C7" s="452">
        <f>landbouw!C8</f>
        <v>0</v>
      </c>
      <c r="D7" s="452">
        <f>landbouw!D8</f>
        <v>951.48067172115657</v>
      </c>
      <c r="E7" s="452">
        <f>landbouw!E8</f>
        <v>17.379822091394875</v>
      </c>
      <c r="F7" s="452">
        <f>landbouw!F8</f>
        <v>4760.7347786184273</v>
      </c>
      <c r="G7" s="452">
        <f>landbouw!G8</f>
        <v>0</v>
      </c>
      <c r="H7" s="452">
        <f>landbouw!H8</f>
        <v>0</v>
      </c>
      <c r="I7" s="452">
        <f>landbouw!I8</f>
        <v>0</v>
      </c>
      <c r="J7" s="452">
        <f>landbouw!J8</f>
        <v>287.67007111749672</v>
      </c>
      <c r="K7" s="452">
        <f>landbouw!K8</f>
        <v>0</v>
      </c>
      <c r="L7" s="452">
        <f>landbouw!L8</f>
        <v>0</v>
      </c>
      <c r="M7" s="452">
        <f>landbouw!M8</f>
        <v>0</v>
      </c>
      <c r="N7" s="452">
        <f>landbouw!N8</f>
        <v>0</v>
      </c>
      <c r="O7" s="452">
        <f>landbouw!O8</f>
        <v>0</v>
      </c>
      <c r="P7" s="453">
        <f>landbouw!P8</f>
        <v>0</v>
      </c>
      <c r="Q7" s="451">
        <f t="shared" si="0"/>
        <v>7893.6458435484747</v>
      </c>
    </row>
    <row r="8" spans="1:17">
      <c r="A8" s="451" t="s">
        <v>649</v>
      </c>
      <c r="B8" s="452">
        <f>industrie!B18</f>
        <v>89353.014770000009</v>
      </c>
      <c r="C8" s="452">
        <f>industrie!C18</f>
        <v>0</v>
      </c>
      <c r="D8" s="452">
        <f>industrie!D18</f>
        <v>158993.71909723827</v>
      </c>
      <c r="E8" s="452">
        <f>industrie!E18</f>
        <v>8759.8870135354082</v>
      </c>
      <c r="F8" s="452">
        <f>industrie!F18</f>
        <v>47355.009880579899</v>
      </c>
      <c r="G8" s="452">
        <f>industrie!G18</f>
        <v>0</v>
      </c>
      <c r="H8" s="452">
        <f>industrie!H18</f>
        <v>0</v>
      </c>
      <c r="I8" s="452">
        <f>industrie!I18</f>
        <v>0</v>
      </c>
      <c r="J8" s="452">
        <f>industrie!J18</f>
        <v>456.71722658846204</v>
      </c>
      <c r="K8" s="452">
        <f>industrie!K18</f>
        <v>0</v>
      </c>
      <c r="L8" s="452">
        <f>industrie!L18</f>
        <v>0</v>
      </c>
      <c r="M8" s="452">
        <f>industrie!M18</f>
        <v>0</v>
      </c>
      <c r="N8" s="452">
        <f>industrie!N18</f>
        <v>9646.1618782914466</v>
      </c>
      <c r="O8" s="452">
        <f>industrie!O18</f>
        <v>0</v>
      </c>
      <c r="P8" s="453">
        <f>industrie!P18</f>
        <v>0</v>
      </c>
      <c r="Q8" s="451">
        <f t="shared" si="0"/>
        <v>314564.50986623351</v>
      </c>
    </row>
    <row r="9" spans="1:17" s="457" customFormat="1">
      <c r="A9" s="455" t="s">
        <v>570</v>
      </c>
      <c r="B9" s="456">
        <f>transport!B14</f>
        <v>68.267643068486748</v>
      </c>
      <c r="C9" s="456">
        <f>transport!C14</f>
        <v>0</v>
      </c>
      <c r="D9" s="456">
        <f>transport!D14</f>
        <v>137.89972512604444</v>
      </c>
      <c r="E9" s="456">
        <f>transport!E14</f>
        <v>1447.874152240649</v>
      </c>
      <c r="F9" s="456">
        <f>transport!F14</f>
        <v>0</v>
      </c>
      <c r="G9" s="456">
        <f>transport!G14</f>
        <v>487328.8554263846</v>
      </c>
      <c r="H9" s="456">
        <f>transport!H14</f>
        <v>85123.389156383462</v>
      </c>
      <c r="I9" s="456">
        <f>transport!I14</f>
        <v>0</v>
      </c>
      <c r="J9" s="456">
        <f>transport!J14</f>
        <v>0</v>
      </c>
      <c r="K9" s="456">
        <f>transport!K14</f>
        <v>0</v>
      </c>
      <c r="L9" s="456">
        <f>transport!L14</f>
        <v>0</v>
      </c>
      <c r="M9" s="456">
        <f>transport!M14</f>
        <v>30850.446011397817</v>
      </c>
      <c r="N9" s="456">
        <f>transport!N14</f>
        <v>0</v>
      </c>
      <c r="O9" s="456">
        <f>transport!O14</f>
        <v>0</v>
      </c>
      <c r="P9" s="456">
        <f>transport!P14</f>
        <v>0</v>
      </c>
      <c r="Q9" s="455">
        <f>SUM(B9:P9)</f>
        <v>604956.73211460107</v>
      </c>
    </row>
    <row r="10" spans="1:17">
      <c r="A10" s="451" t="s">
        <v>560</v>
      </c>
      <c r="B10" s="452">
        <f>transport!B54</f>
        <v>0</v>
      </c>
      <c r="C10" s="452">
        <f>transport!C54</f>
        <v>0</v>
      </c>
      <c r="D10" s="452">
        <f>transport!D54</f>
        <v>0</v>
      </c>
      <c r="E10" s="452">
        <f>transport!E54</f>
        <v>0</v>
      </c>
      <c r="F10" s="452">
        <f>transport!F54</f>
        <v>0</v>
      </c>
      <c r="G10" s="452">
        <f>transport!G54</f>
        <v>10594.00418369589</v>
      </c>
      <c r="H10" s="452">
        <f>transport!H54</f>
        <v>0</v>
      </c>
      <c r="I10" s="452">
        <f>transport!I54</f>
        <v>0</v>
      </c>
      <c r="J10" s="452">
        <f>transport!J54</f>
        <v>0</v>
      </c>
      <c r="K10" s="452">
        <f>transport!K54</f>
        <v>0</v>
      </c>
      <c r="L10" s="452">
        <f>transport!L54</f>
        <v>0</v>
      </c>
      <c r="M10" s="452">
        <f>transport!M54</f>
        <v>605.52103408594348</v>
      </c>
      <c r="N10" s="452">
        <f>transport!N54</f>
        <v>0</v>
      </c>
      <c r="O10" s="452">
        <f>transport!O54</f>
        <v>0</v>
      </c>
      <c r="P10" s="453">
        <f>transport!P54</f>
        <v>0</v>
      </c>
      <c r="Q10" s="451">
        <f t="shared" si="0"/>
        <v>11199.525217781833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22839.171999999999</v>
      </c>
      <c r="C14" s="459"/>
      <c r="D14" s="459">
        <f>'SEAP template'!E25</f>
        <v>36802.345643751702</v>
      </c>
      <c r="E14" s="459"/>
      <c r="F14" s="459"/>
      <c r="G14" s="459"/>
      <c r="H14" s="459"/>
      <c r="I14" s="459"/>
      <c r="J14" s="459"/>
      <c r="K14" s="459"/>
      <c r="L14" s="459"/>
      <c r="M14" s="459"/>
      <c r="N14" s="459"/>
      <c r="O14" s="459"/>
      <c r="P14" s="460"/>
      <c r="Q14" s="451">
        <f t="shared" si="0"/>
        <v>59641.5176437517</v>
      </c>
    </row>
    <row r="15" spans="1:17" s="461" customFormat="1">
      <c r="A15" s="1017" t="s">
        <v>564</v>
      </c>
      <c r="B15" s="957">
        <f ca="1">SUM(B4:B14)</f>
        <v>378711.79317523807</v>
      </c>
      <c r="C15" s="957">
        <f t="shared" ref="C15:Q15" ca="1" si="1">SUM(C4:C14)</f>
        <v>0</v>
      </c>
      <c r="D15" s="957">
        <f t="shared" ca="1" si="1"/>
        <v>646949.09445638745</v>
      </c>
      <c r="E15" s="957">
        <f t="shared" si="1"/>
        <v>90779.100823000714</v>
      </c>
      <c r="F15" s="957">
        <f t="shared" ca="1" si="1"/>
        <v>114233.39944014858</v>
      </c>
      <c r="G15" s="957">
        <f t="shared" si="1"/>
        <v>497922.85961008049</v>
      </c>
      <c r="H15" s="957">
        <f t="shared" si="1"/>
        <v>85123.389156383462</v>
      </c>
      <c r="I15" s="957">
        <f t="shared" si="1"/>
        <v>0</v>
      </c>
      <c r="J15" s="957">
        <f t="shared" si="1"/>
        <v>4176.9443593474107</v>
      </c>
      <c r="K15" s="957">
        <f t="shared" si="1"/>
        <v>0</v>
      </c>
      <c r="L15" s="957">
        <f t="shared" ca="1" si="1"/>
        <v>0</v>
      </c>
      <c r="M15" s="957">
        <f t="shared" si="1"/>
        <v>31455.967045483761</v>
      </c>
      <c r="N15" s="957">
        <f t="shared" ca="1" si="1"/>
        <v>56955.54135630461</v>
      </c>
      <c r="O15" s="957">
        <f t="shared" si="1"/>
        <v>558.11</v>
      </c>
      <c r="P15" s="957">
        <f t="shared" si="1"/>
        <v>1811.3333333333335</v>
      </c>
      <c r="Q15" s="957">
        <f t="shared" ca="1" si="1"/>
        <v>1908677.5327557081</v>
      </c>
    </row>
    <row r="17" spans="1:17">
      <c r="A17" s="462" t="s">
        <v>565</v>
      </c>
      <c r="B17" s="761">
        <f ca="1">huishoudens!B10</f>
        <v>0.20870638420983575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31152.194927276294</v>
      </c>
      <c r="C22" s="452">
        <f t="shared" ref="C22:C32" ca="1" si="3">C4*$C$17</f>
        <v>0</v>
      </c>
      <c r="D22" s="452">
        <f t="shared" ref="D22:D32" si="4">D4*$D$17</f>
        <v>64066.670616750424</v>
      </c>
      <c r="E22" s="452">
        <f t="shared" ref="E22:E32" si="5">E4*$E$17</f>
        <v>18015.107937277517</v>
      </c>
      <c r="F22" s="452">
        <f t="shared" ref="F22:F32" si="6">F4*$F$17</f>
        <v>12236.619335703248</v>
      </c>
      <c r="G22" s="452">
        <f t="shared" ref="G22:G32" si="7">G4*$G$17</f>
        <v>0</v>
      </c>
      <c r="H22" s="452">
        <f t="shared" ref="H22:H32" si="8">H4*$H$17</f>
        <v>0</v>
      </c>
      <c r="I22" s="452">
        <f t="shared" ref="I22:I32" si="9">I4*$I$17</f>
        <v>0</v>
      </c>
      <c r="J22" s="452">
        <f t="shared" ref="J22:J32" si="10">J4*$J$17</f>
        <v>1215.1251998210739</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126685.71801682856</v>
      </c>
    </row>
    <row r="23" spans="1:17">
      <c r="A23" s="451" t="s">
        <v>155</v>
      </c>
      <c r="B23" s="452">
        <f t="shared" ca="1" si="2"/>
        <v>23159.762809899377</v>
      </c>
      <c r="C23" s="452">
        <f t="shared" ca="1" si="3"/>
        <v>0</v>
      </c>
      <c r="D23" s="452">
        <f t="shared" ca="1" si="4"/>
        <v>26846.186545596731</v>
      </c>
      <c r="E23" s="452">
        <f t="shared" si="5"/>
        <v>270.64094529773564</v>
      </c>
      <c r="F23" s="452">
        <f t="shared" ca="1" si="6"/>
        <v>4348.7944908104691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54625.384791604316</v>
      </c>
    </row>
    <row r="24" spans="1:17">
      <c r="A24" s="451" t="s">
        <v>193</v>
      </c>
      <c r="B24" s="452">
        <f t="shared" ca="1" si="2"/>
        <v>906.52515418994255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906.52515418994255</v>
      </c>
    </row>
    <row r="25" spans="1:17">
      <c r="A25" s="451" t="s">
        <v>111</v>
      </c>
      <c r="B25" s="452">
        <f t="shared" ca="1" si="2"/>
        <v>391.61258955684372</v>
      </c>
      <c r="C25" s="452">
        <f t="shared" ca="1" si="3"/>
        <v>0</v>
      </c>
      <c r="D25" s="452">
        <f t="shared" si="4"/>
        <v>192.19909568767363</v>
      </c>
      <c r="E25" s="452">
        <f t="shared" si="5"/>
        <v>3.9452196147466365</v>
      </c>
      <c r="F25" s="452">
        <f t="shared" si="6"/>
        <v>1271.1161858911203</v>
      </c>
      <c r="G25" s="452">
        <f t="shared" si="7"/>
        <v>0</v>
      </c>
      <c r="H25" s="452">
        <f t="shared" si="8"/>
        <v>0</v>
      </c>
      <c r="I25" s="452">
        <f t="shared" si="9"/>
        <v>0</v>
      </c>
      <c r="J25" s="452">
        <f t="shared" si="10"/>
        <v>101.83520517559383</v>
      </c>
      <c r="K25" s="452">
        <f t="shared" si="11"/>
        <v>0</v>
      </c>
      <c r="L25" s="452">
        <f t="shared" si="12"/>
        <v>0</v>
      </c>
      <c r="M25" s="452">
        <f t="shared" si="13"/>
        <v>0</v>
      </c>
      <c r="N25" s="452">
        <f t="shared" si="14"/>
        <v>0</v>
      </c>
      <c r="O25" s="452">
        <f t="shared" si="15"/>
        <v>0</v>
      </c>
      <c r="P25" s="453">
        <f t="shared" si="16"/>
        <v>0</v>
      </c>
      <c r="Q25" s="451">
        <f t="shared" ca="1" si="17"/>
        <v>1960.7082959259778</v>
      </c>
    </row>
    <row r="26" spans="1:17">
      <c r="A26" s="451" t="s">
        <v>649</v>
      </c>
      <c r="B26" s="452">
        <f t="shared" ca="1" si="2"/>
        <v>18648.54463089475</v>
      </c>
      <c r="C26" s="452">
        <f t="shared" ca="1" si="3"/>
        <v>0</v>
      </c>
      <c r="D26" s="452">
        <f t="shared" si="4"/>
        <v>32116.731257642132</v>
      </c>
      <c r="E26" s="452">
        <f t="shared" si="5"/>
        <v>1988.4943520725378</v>
      </c>
      <c r="F26" s="452">
        <f t="shared" si="6"/>
        <v>12643.787638114834</v>
      </c>
      <c r="G26" s="452">
        <f t="shared" si="7"/>
        <v>0</v>
      </c>
      <c r="H26" s="452">
        <f t="shared" si="8"/>
        <v>0</v>
      </c>
      <c r="I26" s="452">
        <f t="shared" si="9"/>
        <v>0</v>
      </c>
      <c r="J26" s="452">
        <f t="shared" si="10"/>
        <v>161.67789821231554</v>
      </c>
      <c r="K26" s="452">
        <f t="shared" si="11"/>
        <v>0</v>
      </c>
      <c r="L26" s="452">
        <f t="shared" si="12"/>
        <v>0</v>
      </c>
      <c r="M26" s="452">
        <f t="shared" si="13"/>
        <v>0</v>
      </c>
      <c r="N26" s="452">
        <f t="shared" si="14"/>
        <v>0</v>
      </c>
      <c r="O26" s="452">
        <f t="shared" si="15"/>
        <v>0</v>
      </c>
      <c r="P26" s="453">
        <f t="shared" si="16"/>
        <v>0</v>
      </c>
      <c r="Q26" s="451">
        <f t="shared" ca="1" si="17"/>
        <v>65559.235776936577</v>
      </c>
    </row>
    <row r="27" spans="1:17" s="457" customFormat="1">
      <c r="A27" s="455" t="s">
        <v>570</v>
      </c>
      <c r="B27" s="755">
        <f t="shared" ca="1" si="2"/>
        <v>14.247892943351525</v>
      </c>
      <c r="C27" s="456">
        <f t="shared" ca="1" si="3"/>
        <v>0</v>
      </c>
      <c r="D27" s="456">
        <f t="shared" si="4"/>
        <v>27.85574447546098</v>
      </c>
      <c r="E27" s="456">
        <f t="shared" si="5"/>
        <v>328.66743255862735</v>
      </c>
      <c r="F27" s="456">
        <f t="shared" si="6"/>
        <v>0</v>
      </c>
      <c r="G27" s="456">
        <f t="shared" si="7"/>
        <v>130116.8043988447</v>
      </c>
      <c r="H27" s="456">
        <f t="shared" si="8"/>
        <v>21195.723899939483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151683.29936876163</v>
      </c>
    </row>
    <row r="28" spans="1:17">
      <c r="A28" s="451" t="s">
        <v>560</v>
      </c>
      <c r="B28" s="452">
        <f t="shared" ca="1" si="2"/>
        <v>0</v>
      </c>
      <c r="C28" s="452">
        <f t="shared" ca="1" si="3"/>
        <v>0</v>
      </c>
      <c r="D28" s="452">
        <f t="shared" si="4"/>
        <v>0</v>
      </c>
      <c r="E28" s="452">
        <f t="shared" si="5"/>
        <v>0</v>
      </c>
      <c r="F28" s="452">
        <f t="shared" si="6"/>
        <v>0</v>
      </c>
      <c r="G28" s="452">
        <f t="shared" si="7"/>
        <v>2828.5991170468028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2828.5991170468028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4766.6810064665224</v>
      </c>
      <c r="C32" s="452">
        <f t="shared" ca="1" si="3"/>
        <v>0</v>
      </c>
      <c r="D32" s="452">
        <f t="shared" si="4"/>
        <v>7434.0738200378446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12200.754826504366</v>
      </c>
    </row>
    <row r="33" spans="1:17" s="461" customFormat="1">
      <c r="A33" s="1017" t="s">
        <v>564</v>
      </c>
      <c r="B33" s="957">
        <f ca="1">SUM(B22:B32)</f>
        <v>79039.569011227082</v>
      </c>
      <c r="C33" s="957">
        <f t="shared" ref="C33:Q33" ca="1" si="18">SUM(C22:C32)</f>
        <v>0</v>
      </c>
      <c r="D33" s="957">
        <f t="shared" ca="1" si="18"/>
        <v>130683.71708019025</v>
      </c>
      <c r="E33" s="957">
        <f t="shared" si="18"/>
        <v>20606.855886821166</v>
      </c>
      <c r="F33" s="957">
        <f t="shared" ca="1" si="18"/>
        <v>30500.317650519672</v>
      </c>
      <c r="G33" s="957">
        <f t="shared" si="18"/>
        <v>132945.40351589149</v>
      </c>
      <c r="H33" s="957">
        <f t="shared" si="18"/>
        <v>21195.723899939483</v>
      </c>
      <c r="I33" s="957">
        <f t="shared" si="18"/>
        <v>0</v>
      </c>
      <c r="J33" s="957">
        <f t="shared" si="18"/>
        <v>1478.6383032089832</v>
      </c>
      <c r="K33" s="957">
        <f t="shared" si="18"/>
        <v>0</v>
      </c>
      <c r="L33" s="957">
        <f t="shared" ca="1" si="18"/>
        <v>0</v>
      </c>
      <c r="M33" s="957">
        <f t="shared" si="18"/>
        <v>0</v>
      </c>
      <c r="N33" s="957">
        <f t="shared" ca="1" si="18"/>
        <v>0</v>
      </c>
      <c r="O33" s="957">
        <f t="shared" si="18"/>
        <v>0</v>
      </c>
      <c r="P33" s="957">
        <f t="shared" si="18"/>
        <v>0</v>
      </c>
      <c r="Q33" s="957">
        <f t="shared" ca="1" si="18"/>
        <v>416450.2253477982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21066.684527151618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21066.684527151618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0.20870638420983575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0.20870638420983575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2020-06-20T16:08:58Z</dcterms:modified>
</cp:coreProperties>
</file>