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C13" i="15" l="1"/>
  <c r="D13" i="15"/>
  <c r="L6" i="17"/>
  <c r="I9"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F24" i="14"/>
  <c r="F26" i="14" s="1"/>
  <c r="E7" i="48"/>
  <c r="E25" i="48" s="1"/>
  <c r="P46" i="14"/>
  <c r="P61" i="14" s="1"/>
  <c r="P63" i="14" s="1"/>
  <c r="P16" i="14"/>
  <c r="P27" i="14" s="1"/>
  <c r="O15" i="48"/>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22" i="14" l="1"/>
  <c r="N27" i="14" s="1"/>
  <c r="N63" i="14" s="1"/>
  <c r="H22" i="14"/>
  <c r="H27" i="14" s="1"/>
  <c r="F10" i="14"/>
  <c r="E5" i="48"/>
  <c r="E23" i="48"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<sst xmlns="http://schemas.openxmlformats.org/spreadsheetml/2006/main" count="2452" uniqueCount="923">
  <si>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</si>
  <si>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</si>
  <si>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</si>
  <si>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</si>
  <si>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</si>
  <si>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</si>
  <si>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</si>
  <si>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</si>
  <si>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</si>
  <si>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</si>
  <si>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</si>
  <si>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</si>
  <si>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</si>
  <si>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</si>
  <si>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</si>
  <si>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</si>
  <si>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</si>
  <si>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</si>
  <si>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</si>
  <si>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</si>
  <si>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</si>
  <si>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</si>
  <si>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</si>
  <si>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</si>
  <si>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</si>
  <si>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</si>
  <si>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</si>
  <si>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</si>
  <si>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</si>
  <si>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</si>
  <si>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</si>
  <si>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</si>
  <si>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</si>
  <si>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</si>
  <si>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</si>
  <si>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</si>
  <si>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</si>
  <si>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</si>
  <si>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</si>
  <si>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</si>
  <si>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</si>
  <si>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</si>
  <si>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</si>
  <si>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</si>
  <si>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</si>
  <si>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</si>
  <si>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</si>
  <si>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</si>
  <si>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</si>
  <si>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</si>
  <si>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</si>
  <si>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</si>
  <si>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</si>
  <si>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</si>
  <si>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</si>
  <si>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</si>
  <si>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</si>
  <si>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</si>
  <si>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</si>
  <si>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</si>
  <si>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</si>
  <si>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</si>
  <si>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</si>
  <si>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</si>
  <si>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</si>
  <si>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</si>
  <si>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</si>
  <si>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</si>
  <si>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</si>
  <si>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</si>
  <si>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</si>
  <si>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</si>
  <si>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</si>
  <si>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</si>
  <si>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</si>
  <si>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</si>
  <si>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</si>
  <si>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</si>
  <si>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</si>
  <si>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</si>
  <si>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</si>
  <si>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</si>
  <si>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</si>
  <si>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</si>
  <si>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</si>
  <si>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</si>
  <si>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</si>
  <si>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</si>
  <si>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</si>
  <si>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</si>
  <si>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</si>
  <si>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</si>
  <si>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</si>
  <si>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</si>
  <si>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</si>
  <si>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</si>
  <si>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</si>
  <si>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</si>
  <si>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</si>
  <si>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</si>
  <si>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</si>
  <si>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</si>
  <si>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</si>
  <si>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</si>
  <si>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</si>
  <si>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</si>
  <si>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</si>
  <si>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</si>
  <si>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</si>
  <si>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</si>
  <si>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</si>
  <si>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</si>
  <si>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</si>
  <si>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</si>
  <si>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</si>
  <si>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</si>
  <si>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</si>
  <si>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</si>
  <si>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</si>
  <si>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</si>
  <si>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</si>
  <si>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</si>
  <si>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</si>
  <si>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</si>
  <si>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</si>
  <si>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</si>
  <si>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</si>
  <si>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</si>
  <si>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</si>
  <si>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</si>
  <si>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</si>
  <si>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</si>
  <si>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</si>
  <si>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</si>
  <si>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</si>
  <si>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</si>
  <si>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</si>
  <si>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</si>
  <si>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</si>
  <si>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</si>
  <si>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</si>
  <si>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</si>
  <si>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</si>
  <si>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</si>
  <si>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</si>
  <si>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</si>
  <si>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</si>
  <si>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</si>
  <si>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</si>
  <si>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</si>
  <si>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</si>
  <si>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</si>
  <si>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</si>
  <si>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</si>
  <si>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</si>
  <si>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</si>
  <si>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</si>
  <si>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</si>
  <si>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</si>
  <si>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</si>
  <si>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</si>
  <si>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</si>
  <si>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</si>
  <si>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</si>
  <si>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</si>
  <si>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</si>
  <si>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</si>
  <si>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</si>
  <si>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</si>
  <si>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</si>
  <si>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</si>
  <si>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</si>
  <si>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</si>
  <si>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</si>
  <si>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</si>
  <si>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</si>
  <si>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</si>
  <si>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</si>
  <si>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</si>
  <si>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</si>
  <si>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</si>
  <si>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</si>
  <si>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</si>
  <si>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</si>
  <si>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</si>
  <si>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</si>
  <si>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</si>
  <si>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</si>
  <si>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</si>
  <si>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</si>
  <si>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</si>
  <si>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</si>
  <si>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</si>
  <si>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</si>
  <si>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</si>
  <si>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</si>
  <si>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</si>
  <si>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</si>
  <si>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</si>
  <si>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</si>
  <si>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</si>
  <si>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</si>
  <si>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</si>
  <si>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</si>
  <si>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</si>
  <si>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</si>
  <si>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</si>
  <si>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</si>
  <si>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</si>
  <si>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</si>
  <si>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</si>
  <si>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</si>
  <si>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</si>
  <si>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</si>
  <si>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</si>
  <si>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</si>
  <si>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</si>
  <si>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</si>
  <si>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</si>
  <si>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</si>
  <si>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</si>
  <si>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</si>
  <si>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</si>
  <si>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</si>
  <si>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</si>
  <si>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</si>
  <si>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</si>
  <si>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</si>
  <si>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</si>
  <si>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</si>
  <si>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</si>
  <si>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</si>
  <si>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</si>
  <si>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</si>
  <si>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</si>
  <si>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</si>
  <si>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</si>
  <si>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</si>
  <si>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</si>
  <si>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</si>
  <si>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</si>
  <si>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</si>
  <si>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</si>
  <si>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</si>
  <si>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</si>
  <si>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</si>
  <si>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</si>
  <si>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</si>
  <si>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</si>
  <si>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</si>
  <si>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</si>
  <si>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</si>
  <si>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</si>
  <si>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</si>
  <si>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</si>
  <si>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</si>
  <si>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</si>
  <si>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</si>
  <si>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</si>
  <si>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</si>
  <si>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</si>
  <si>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</si>
  <si>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</si>
  <si>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</si>
  <si>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</si>
  <si>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</si>
  <si>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</si>
  <si>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</si>
  <si>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</si>
  <si>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</si>
  <si>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</si>
  <si>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</si>
  <si>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</si>
  <si>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</si>
  <si>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</si>
  <si>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</si>
  <si>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</si>
  <si>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</si>
  <si>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</si>
  <si>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</si>
  <si>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</si>
  <si>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</si>
  <si>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</si>
  <si>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</si>
  <si>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</si>
  <si>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</si>
  <si>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</si>
  <si>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</si>
  <si>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</si>
  <si>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</si>
  <si>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</si>
  <si>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</si>
  <si>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</si>
  <si>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</si>
  <si>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</si>
  <si>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</si>
  <si>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</si>
  <si>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</si>
  <si>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</si>
  <si>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</si>
  <si>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</si>
  <si>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</si>
  <si>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</si>
  <si>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</si>
  <si>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</si>
  <si>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</si>
  <si>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</si>
  <si>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</si>
  <si>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</si>
  <si>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</si>
  <si>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</si>
  <si>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</si>
  <si>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</si>
  <si>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</si>
  <si>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</si>
  <si>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</si>
  <si>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</si>
  <si>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</si>
  <si>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</si>
  <si>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</si>
  <si>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</si>
  <si>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</si>
  <si>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</si>
  <si>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</si>
  <si>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</si>
  <si>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</si>
  <si>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</si>
  <si>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</si>
  <si>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</si>
  <si>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</si>
  <si>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</si>
  <si>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</si>
  <si>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</si>
  <si>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</si>
  <si>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</si>
  <si>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</si>
  <si>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</si>
  <si>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</si>
  <si>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</si>
  <si>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</si>
  <si>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</si>
  <si>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</si>
  <si>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</si>
  <si>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</si>
  <si>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</si>
  <si>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</si>
  <si>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</si>
  <si>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</si>
  <si>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</si>
  <si>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</si>
  <si>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</si>
  <si>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</si>
  <si>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</si>
  <si>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</si>
  <si>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</si>
  <si>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</si>
  <si>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</si>
  <si>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</si>
  <si>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</si>
  <si>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</si>
  <si>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</si>
  <si>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</si>
  <si>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</si>
  <si>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</si>
  <si>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</si>
  <si>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</si>
  <si>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</si>
  <si>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</si>
  <si>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</si>
  <si>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</si>
  <si>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</si>
  <si>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</si>
  <si>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</si>
  <si>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</si>
  <si>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</si>
  <si>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</si>
  <si>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</si>
  <si>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</si>
  <si>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</si>
  <si>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</si>
  <si>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</si>
  <si>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</si>
  <si>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</si>
  <si>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</si>
  <si>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</si>
  <si>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</si>
  <si>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</si>
  <si>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</si>
  <si>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</si>
  <si>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</si>
  <si>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</si>
  <si>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</si>
  <si>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</si>
  <si>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</si>
  <si>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</si>
  <si>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</si>
  <si>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</si>
  <si>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</si>
  <si>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</si>
  <si>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</si>
  <si>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</si>
  <si>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</si>
  <si>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</si>
  <si>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</si>
  <si>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</si>
  <si>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</si>
  <si>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</si>
  <si>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</si>
  <si>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</si>
  <si>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</si>
  <si>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</si>
  <si>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</si>
  <si>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</si>
  <si>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</si>
  <si>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</si>
  <si>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</si>
  <si>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</si>
  <si>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</si>
  <si>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</si>
  <si>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</si>
  <si>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</si>
  <si>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</si>
  <si>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</si>
  <si>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</si>
  <si>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</si>
  <si>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</si>
  <si>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</si>
  <si>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</si>
  <si>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</si>
  <si>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</si>
  <si>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</si>
  <si>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</si>
  <si>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</si>
  <si>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</si>
  <si>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</si>
  <si>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</si>
  <si>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</si>
  <si>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</si>
  <si>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</si>
  <si>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</si>
  <si>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</si>
  <si>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</si>
  <si>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</si>
  <si>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</si>
  <si>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</si>
  <si>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</si>
  <si>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</si>
  <si>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</si>
  <si>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</si>
  <si>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</si>
  <si>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</si>
  <si>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</si>
  <si>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</si>
  <si>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</si>
  <si>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</si>
  <si>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</si>
  <si>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</si>
  <si>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</si>
  <si>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</si>
  <si>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</si>
  <si>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</si>
  <si>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</si>
  <si>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</si>
  <si>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</si>
  <si>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</si>
  <si>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</si>
  <si>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</si>
  <si>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</si>
  <si>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</si>
  <si>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</si>
  <si>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</si>
  <si>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</si>
  <si>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</si>
  <si>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</si>
  <si>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</si>
  <si>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</si>
  <si>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</si>
  <si>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</si>
  <si>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</si>
  <si>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</si>
  <si>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</si>
  <si>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</si>
  <si>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</si>
  <si>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</si>
  <si>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</si>
  <si>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</si>
  <si>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</si>
  <si>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</si>
  <si>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</si>
  <si>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</si>
  <si>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</si>
  <si>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</si>
  <si>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</si>
  <si>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</si>
  <si>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</si>
  <si>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</si>
  <si>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</si>
  <si>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</si>
  <si>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</si>
  <si>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</si>
  <si>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</si>
  <si>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</si>
  <si>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</si>
  <si>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</si>
  <si>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</si>
  <si>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</si>
  <si>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</si>
  <si>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</si>
  <si>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</si>
  <si>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</si>
  <si>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</si>
  <si>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</si>
  <si>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</si>
  <si>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</si>
  <si>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</si>
  <si>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</si>
  <si>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</si>
  <si>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</si>
  <si>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</si>
  <si>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</si>
  <si>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</si>
  <si>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</si>
  <si>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</si>
  <si>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</si>
  <si>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</si>
  <si>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</si>
  <si>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</si>
  <si>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</si>
  <si>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</si>
  <si>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</si>
  <si>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</si>
  <si>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</si>
  <si>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</si>
  <si>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</si>
  <si>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</si>
  <si>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</si>
  <si>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</si>
  <si>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</si>
  <si>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</si>
  <si>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</si>
  <si>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</si>
  <si>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</si>
  <si>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</si>
  <si>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</si>
  <si>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</si>
  <si>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</si>
  <si>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</si>
  <si>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</si>
  <si>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</si>
  <si>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</si>
  <si>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</si>
  <si>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</si>
  <si>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</si>
  <si>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</si>
  <si>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</si>
  <si>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</si>
  <si>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</si>
  <si>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</si>
  <si>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</si>
  <si>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</si>
  <si>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</si>
  <si>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</si>
  <si>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</si>
  <si>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</si>
  <si>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</si>
  <si>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</si>
  <si>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</si>
  <si>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</si>
  <si>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</si>
  <si>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</si>
  <si>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</si>
  <si>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</si>
  <si>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</si>
  <si>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</si>
  <si>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</si>
  <si>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</si>
  <si>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</si>
  <si>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</si>
  <si>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</si>
  <si>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</si>
  <si>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</si>
  <si>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</si>
  <si>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</si>
  <si>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</si>
  <si>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</si>
  <si>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</si>
  <si>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</si>
  <si>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</si>
  <si>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</si>
  <si>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</si>
  <si>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</si>
  <si>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</si>
  <si>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</si>
  <si>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</si>
  <si>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</si>
  <si>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</si>
  <si>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</si>
  <si>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</si>
  <si>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</si>
  <si>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</si>
  <si>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</si>
  <si>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</si>
  <si>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</si>
  <si>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</si>
  <si>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</si>
  <si>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</si>
  <si>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</si>
  <si>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</si>
  <si>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</si>
  <si>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</si>
  <si>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</si>
  <si>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</si>
  <si>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</si>
  <si>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</si>
  <si>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</si>
  <si>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</si>
  <si>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</si>
  <si>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</si>
  <si>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</si>
  <si>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</si>
  <si>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</si>
  <si>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</si>
  <si>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</si>
  <si>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</si>
  <si>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</si>
  <si>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</si>
  <si>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</si>
  <si>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</si>
  <si>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</si>
  <si>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</si>
  <si>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</si>
  <si>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</si>
  <si>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</si>
  <si>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</si>
  <si>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</si>
  <si>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</si>
  <si>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</si>
  <si>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</si>
  <si>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</si>
  <si>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</si>
  <si>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</si>
  <si>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</si>
  <si>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</si>
  <si>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</si>
  <si>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</si>
  <si>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</si>
  <si>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</si>
  <si>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</si>
  <si>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</si>
  <si>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</si>
  <si>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</si>
  <si>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</si>
  <si>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</si>
  <si>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</si>
  <si>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</si>
  <si>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</si>
  <si>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</si>
  <si>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</si>
  <si>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</si>
  <si>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</si>
  <si>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</si>
  <si>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</si>
  <si>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</si>
  <si>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</si>
  <si>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</si>
  <si>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</si>
  <si>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</si>
  <si>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</si>
  <si>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</si>
  <si>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</si>
  <si>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</si>
  <si>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</si>
  <si>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</si>
  <si>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</si>
  <si>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</si>
  <si>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</si>
  <si>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</si>
  <si>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</si>
  <si>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</si>
  <si>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</si>
  <si>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</si>
  <si>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</si>
  <si>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</si>
  <si>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</si>
  <si>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</si>
  <si>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</si>
  <si>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</si>
  <si>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</si>
  <si>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</si>
  <si>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</si>
  <si>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</si>
  <si>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</si>
  <si>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</si>
  <si>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</si>
  <si>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</si>
  <si>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</si>
  <si>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</si>
  <si>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</si>
  <si>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</si>
  <si>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</si>
  <si>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</si>
  <si>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</si>
  <si>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</si>
  <si>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</si>
  <si>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</si>
  <si>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</si>
  <si>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</si>
  <si>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</si>
  <si>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</si>
  <si>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</si>
  <si>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</si>
  <si>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</si>
  <si>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</si>
  <si>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</si>
  <si>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</si>
  <si>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</si>
  <si>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</si>
  <si>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</si>
  <si>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</si>
  <si>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</si>
  <si>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</si>
  <si>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</si>
  <si>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</si>
  <si>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</si>
  <si>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</si>
  <si>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</si>
  <si>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</si>
  <si>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</si>
  <si>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</si>
  <si>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</si>
  <si>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</si>
  <si>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</si>
  <si>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</si>
  <si>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</si>
  <si>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</si>
  <si>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</si>
  <si>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</si>
  <si>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</si>
  <si>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</si>
  <si>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</si>
  <si>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</si>
  <si>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</si>
  <si>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</si>
  <si>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</si>
  <si>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</si>
  <si>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</si>
  <si>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</si>
  <si>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</si>
  <si>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</si>
  <si>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</si>
  <si>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</si>
  <si>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</si>
  <si>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</si>
  <si>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</si>
  <si>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</si>
  <si>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</si>
  <si>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</si>
  <si>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</si>
  <si>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</si>
  <si>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</si>
  <si>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</si>
  <si>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</si>
  <si>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</si>
  <si>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</si>
  <si>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</si>
  <si>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</si>
  <si>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</si>
  <si>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</si>
  <si>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</si>
  <si>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</si>
  <si>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</si>
  <si>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</si>
  <si>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</si>
  <si>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</si>
  <si>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</si>
  <si>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</si>
  <si>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</si>
  <si>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</si>
  <si>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</si>
  <si>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</si>
  <si>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</si>
  <si>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</si>
  <si>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</si>
  <si>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</si>
  <si>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</si>
  <si>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</si>
  <si>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</si>
  <si>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</si>
  <si>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</si>
  <si>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</si>
  <si>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</si>
  <si>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</si>
  <si>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</si>
  <si>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</si>
  <si>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</si>
  <si>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</si>
  <si>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</si>
  <si>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</si>
  <si>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</si>
  <si>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</si>
  <si>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</si>
  <si>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</si>
  <si>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</si>
  <si>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</si>
  <si>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</si>
  <si>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</si>
  <si>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</si>
  <si>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</si>
  <si>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</si>
  <si>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</si>
  <si>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</si>
  <si>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</si>
  <si>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</si>
  <si>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</si>
  <si>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</si>
  <si>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</si>
  <si>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</si>
  <si>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</si>
  <si>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</si>
  <si>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</si>
  <si>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</si>
  <si>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</si>
  <si>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</si>
  <si>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</si>
  <si>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</si>
  <si>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</si>
  <si>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</si>
  <si>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</si>
  <si>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</si>
  <si>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</si>
  <si>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</si>
  <si>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</si>
  <si>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</si>
  <si>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</si>
  <si>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</si>
  <si>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</si>
  <si>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</si>
  <si>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</si>
  <si>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</si>
  <si>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</si>
  <si>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</si>
  <si>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</si>
  <si>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</si>
  <si>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</si>
  <si>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</si>
  <si>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</si>
  <si>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</si>
  <si>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</si>
  <si>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</si>
  <si>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</si>
  <si>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</si>
  <si>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</si>
  <si>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</si>
  <si>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</si>
  <si>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</si>
  <si>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</si>
  <si>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</si>
  <si>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</si>
  <si>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</si>
  <si>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</si>
  <si>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</si>
  <si>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</si>
  <si>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</si>
  <si>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</si>
  <si>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</si>
  <si>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</si>
  <si>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</si>
  <si>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</si>
  <si>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</si>
  <si>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</si>
  <si>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</si>
  <si>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</si>
  <si>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</si>
  <si>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</si>
  <si>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</si>
  <si>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</si>
  <si>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</si>
  <si>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</si>
  <si>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</si>
  <si>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</si>
  <si>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</si>
  <si>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</si>
  <si>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</si>
  <si>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</si>
  <si>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</si>
  <si>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</si>
  <si>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</si>
  <si>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</si>
  <si>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</si>
  <si>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</si>
  <si>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</si>
  <si>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</si>
  <si>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</si>
  <si>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</si>
  <si>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</si>
  <si>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</si>
  <si>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</si>
  <si>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</si>
  <si>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</si>
  <si>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</si>
  <si>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</si>
  <si>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</si>
  <si>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</si>
  <si>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</si>
  <si>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</si>
  <si>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</si>
  <si>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</si>
  <si>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38025</t>
  </si>
  <si>
    <t>VEURNE</t>
  </si>
  <si>
    <t>Paarden&amp;pony's 200 - 600 kg</t>
  </si>
  <si>
    <t>Paarden&amp;pony's &lt; 200 kg</t>
  </si>
  <si>
    <t>Fluvius</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</si>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</sst>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98578.645852349044</c:v>
                </c:pt>
                <c:pt idx="1">
                  <c:v>59334.240373766508</c:v>
                </c:pt>
                <c:pt idx="2">
                  <c:v>922.19799999999998</c:v>
                </c:pt>
                <c:pt idx="3">
                  <c:v>19946.438626212941</c:v>
                </c:pt>
                <c:pt idx="4">
                  <c:v>265581.63974104659</c:v>
                </c:pt>
                <c:pt idx="5">
                  <c:v>199252.72222096164</c:v>
                </c:pt>
                <c:pt idx="6">
                  <c:v>1181.0129379152349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98578.645852349044</c:v>
                </c:pt>
                <c:pt idx="1">
                  <c:v>59334.240373766508</c:v>
                </c:pt>
                <c:pt idx="2">
                  <c:v>922.19799999999998</c:v>
                </c:pt>
                <c:pt idx="3">
                  <c:v>19946.438626212941</c:v>
                </c:pt>
                <c:pt idx="4">
                  <c:v>265581.63974104659</c:v>
                </c:pt>
                <c:pt idx="5">
                  <c:v>199252.72222096164</c:v>
                </c:pt>
                <c:pt idx="6">
                  <c:v>1181.0129379152349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18699.337734236095</c:v>
                </c:pt>
                <c:pt idx="2">
                  <c:v>11898.268008123436</c:v>
                </c:pt>
                <c:pt idx="3">
                  <c:v>183.45333897761782</c:v>
                </c:pt>
                <c:pt idx="4">
                  <c:v>5017.6563094107105</c:v>
                </c:pt>
                <c:pt idx="5">
                  <c:v>54286.815617003806</c:v>
                </c:pt>
                <c:pt idx="6">
                  <c:v>50043.326048985342</c:v>
                </c:pt>
                <c:pt idx="7">
                  <c:v>298.28158680368796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18699.337734236095</c:v>
                </c:pt>
                <c:pt idx="2">
                  <c:v>11898.268008123436</c:v>
                </c:pt>
                <c:pt idx="3">
                  <c:v>183.45333897761782</c:v>
                </c:pt>
                <c:pt idx="4">
                  <c:v>5017.6563094107105</c:v>
                </c:pt>
                <c:pt idx="5">
                  <c:v>54286.815617003806</c:v>
                </c:pt>
                <c:pt idx="6">
                  <c:v>50043.326048985342</c:v>
                </c:pt>
                <c:pt idx="7">
                  <c:v>298.28158680368796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38025</v>
      </c>
      <c r="B6" s="391"/>
      <c r="C6" s="392"/>
    </row>
    <row r="7" spans="1:7" s="389" customFormat="1" ht="15.75" customHeight="1">
      <c r="A7" s="393" t="str">
        <f>txtMunicipality</f>
        <v>VEURNE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27723.827599999997</v>
      </c>
      <c r="D10" s="991">
        <f ca="1">tertiair!C16</f>
        <v>1870.7142857142858</v>
      </c>
      <c r="E10" s="991">
        <f ca="1">tertiair!D16</f>
        <v>25145.252083781565</v>
      </c>
      <c r="F10" s="991">
        <f>tertiair!E16</f>
        <v>274.54752715747071</v>
      </c>
      <c r="G10" s="991">
        <f ca="1">tertiair!F16</f>
        <v>3725.5189843290482</v>
      </c>
      <c r="H10" s="991">
        <f>tertiair!G16</f>
        <v>0</v>
      </c>
      <c r="I10" s="991">
        <f>tertiair!H16</f>
        <v>0</v>
      </c>
      <c r="J10" s="991">
        <f>tertiair!I16</f>
        <v>0</v>
      </c>
      <c r="K10" s="991">
        <f>tertiair!J16</f>
        <v>0</v>
      </c>
      <c r="L10" s="991">
        <f>tertiair!K16</f>
        <v>0</v>
      </c>
      <c r="M10" s="991">
        <f ca="1">tertiair!L16</f>
        <v>0</v>
      </c>
      <c r="N10" s="991">
        <f>tertiair!M16</f>
        <v>0</v>
      </c>
      <c r="O10" s="991">
        <f ca="1">tertiair!N16</f>
        <v>1469.0645594508173</v>
      </c>
      <c r="P10" s="991">
        <f>tertiair!O16</f>
        <v>9.3800000000000008</v>
      </c>
      <c r="Q10" s="992">
        <f>tertiair!P16</f>
        <v>38.133333333333333</v>
      </c>
      <c r="R10" s="675">
        <f ca="1">SUM(C10:Q10)</f>
        <v>60256.438373766512</v>
      </c>
      <c r="S10" s="67"/>
    </row>
    <row r="11" spans="1:19" s="448" customFormat="1">
      <c r="A11" s="784" t="s">
        <v>224</v>
      </c>
      <c r="B11" s="789"/>
      <c r="C11" s="991">
        <f>huishoudens!B8</f>
        <v>20290.914942333442</v>
      </c>
      <c r="D11" s="991">
        <f>huishoudens!C8</f>
        <v>0</v>
      </c>
      <c r="E11" s="991">
        <f>huishoudens!D8</f>
        <v>43870.501135482795</v>
      </c>
      <c r="F11" s="991">
        <f>huishoudens!E8</f>
        <v>20667.072815266674</v>
      </c>
      <c r="G11" s="991">
        <f>huishoudens!F8</f>
        <v>3942.4889635915792</v>
      </c>
      <c r="H11" s="991">
        <f>huishoudens!G8</f>
        <v>0</v>
      </c>
      <c r="I11" s="991">
        <f>huishoudens!H8</f>
        <v>0</v>
      </c>
      <c r="J11" s="991">
        <f>huishoudens!I8</f>
        <v>0</v>
      </c>
      <c r="K11" s="991">
        <f>huishoudens!J8</f>
        <v>160.85851202291138</v>
      </c>
      <c r="L11" s="991">
        <f>huishoudens!K8</f>
        <v>0</v>
      </c>
      <c r="M11" s="991">
        <f>huishoudens!L8</f>
        <v>0</v>
      </c>
      <c r="N11" s="991">
        <f>huishoudens!M8</f>
        <v>0</v>
      </c>
      <c r="O11" s="991">
        <f>huishoudens!N8</f>
        <v>8984.3828169849912</v>
      </c>
      <c r="P11" s="991">
        <f>huishoudens!O8</f>
        <v>300.16000000000003</v>
      </c>
      <c r="Q11" s="992">
        <f>huishoudens!P8</f>
        <v>362.26666666666665</v>
      </c>
      <c r="R11" s="675">
        <f>SUM(C11:Q11)</f>
        <v>98578.645852349044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53139.679830000001</v>
      </c>
      <c r="D13" s="991">
        <f>industrie!C18</f>
        <v>0</v>
      </c>
      <c r="E13" s="991">
        <f>industrie!D18</f>
        <v>153823.48579872318</v>
      </c>
      <c r="F13" s="991">
        <f>industrie!E18</f>
        <v>3559.9573785596394</v>
      </c>
      <c r="G13" s="991">
        <f>industrie!F18</f>
        <v>43639.544308827877</v>
      </c>
      <c r="H13" s="991">
        <f>industrie!G18</f>
        <v>0</v>
      </c>
      <c r="I13" s="991">
        <f>industrie!H18</f>
        <v>0</v>
      </c>
      <c r="J13" s="991">
        <f>industrie!I18</f>
        <v>0</v>
      </c>
      <c r="K13" s="991">
        <f>industrie!J18</f>
        <v>518.35604018591994</v>
      </c>
      <c r="L13" s="991">
        <f>industrie!K18</f>
        <v>0</v>
      </c>
      <c r="M13" s="991">
        <f>industrie!L18</f>
        <v>0</v>
      </c>
      <c r="N13" s="991">
        <f>industrie!M18</f>
        <v>0</v>
      </c>
      <c r="O13" s="991">
        <f>industrie!N18</f>
        <v>10900.616384749977</v>
      </c>
      <c r="P13" s="991">
        <f>industrie!O18</f>
        <v>0</v>
      </c>
      <c r="Q13" s="992">
        <f>industrie!P18</f>
        <v>0</v>
      </c>
      <c r="R13" s="675">
        <f>SUM(C13:Q13)</f>
        <v>265581.63974104659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101154.42237233344</v>
      </c>
      <c r="D16" s="707">
        <f t="shared" ref="D16:R16" ca="1" si="0">SUM(D9:D15)</f>
        <v>1870.7142857142858</v>
      </c>
      <c r="E16" s="707">
        <f t="shared" ca="1" si="0"/>
        <v>222839.23901798754</v>
      </c>
      <c r="F16" s="707">
        <f t="shared" si="0"/>
        <v>24501.577720983787</v>
      </c>
      <c r="G16" s="707">
        <f t="shared" ca="1" si="0"/>
        <v>51307.552256748502</v>
      </c>
      <c r="H16" s="707">
        <f t="shared" si="0"/>
        <v>0</v>
      </c>
      <c r="I16" s="707">
        <f t="shared" si="0"/>
        <v>0</v>
      </c>
      <c r="J16" s="707">
        <f t="shared" si="0"/>
        <v>0</v>
      </c>
      <c r="K16" s="707">
        <f t="shared" si="0"/>
        <v>679.21455220883126</v>
      </c>
      <c r="L16" s="707">
        <f t="shared" si="0"/>
        <v>0</v>
      </c>
      <c r="M16" s="707">
        <f t="shared" ca="1" si="0"/>
        <v>0</v>
      </c>
      <c r="N16" s="707">
        <f t="shared" si="0"/>
        <v>0</v>
      </c>
      <c r="O16" s="707">
        <f t="shared" ca="1" si="0"/>
        <v>21354.063761185786</v>
      </c>
      <c r="P16" s="707">
        <f t="shared" si="0"/>
        <v>309.54000000000002</v>
      </c>
      <c r="Q16" s="707">
        <f t="shared" si="0"/>
        <v>400.4</v>
      </c>
      <c r="R16" s="707">
        <f t="shared" ca="1" si="0"/>
        <v>424416.72396716214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1117.1595011374079</v>
      </c>
      <c r="I19" s="991">
        <f>transport!H54</f>
        <v>0</v>
      </c>
      <c r="J19" s="991">
        <f>transport!I54</f>
        <v>0</v>
      </c>
      <c r="K19" s="991">
        <f>transport!J54</f>
        <v>0</v>
      </c>
      <c r="L19" s="991">
        <f>transport!K54</f>
        <v>0</v>
      </c>
      <c r="M19" s="991">
        <f>transport!L54</f>
        <v>0</v>
      </c>
      <c r="N19" s="991">
        <f>transport!M54</f>
        <v>63.853436777827</v>
      </c>
      <c r="O19" s="991">
        <f>transport!N54</f>
        <v>0</v>
      </c>
      <c r="P19" s="991">
        <f>transport!O54</f>
        <v>0</v>
      </c>
      <c r="Q19" s="992">
        <f>transport!P54</f>
        <v>0</v>
      </c>
      <c r="R19" s="675">
        <f>SUM(C19:Q19)</f>
        <v>1181.0129379152349</v>
      </c>
      <c r="S19" s="67"/>
    </row>
    <row r="20" spans="1:19" s="448" customFormat="1">
      <c r="A20" s="784" t="s">
        <v>306</v>
      </c>
      <c r="B20" s="789"/>
      <c r="C20" s="991">
        <f>transport!B14</f>
        <v>17.704141518821316</v>
      </c>
      <c r="D20" s="991">
        <f>transport!C14</f>
        <v>0</v>
      </c>
      <c r="E20" s="991">
        <f>transport!D14</f>
        <v>33.574794924570838</v>
      </c>
      <c r="F20" s="991">
        <f>transport!E14</f>
        <v>352.97936143779816</v>
      </c>
      <c r="G20" s="991">
        <f>transport!F14</f>
        <v>0</v>
      </c>
      <c r="H20" s="991">
        <f>transport!G14</f>
        <v>167692.37024690167</v>
      </c>
      <c r="I20" s="991">
        <f>transport!H14</f>
        <v>20799.328815847886</v>
      </c>
      <c r="J20" s="991">
        <f>transport!I14</f>
        <v>0</v>
      </c>
      <c r="K20" s="991">
        <f>transport!J14</f>
        <v>0</v>
      </c>
      <c r="L20" s="991">
        <f>transport!K14</f>
        <v>0</v>
      </c>
      <c r="M20" s="991">
        <f>transport!L14</f>
        <v>0</v>
      </c>
      <c r="N20" s="991">
        <f>transport!M14</f>
        <v>10356.764860330884</v>
      </c>
      <c r="O20" s="991">
        <f>transport!N14</f>
        <v>0</v>
      </c>
      <c r="P20" s="991">
        <f>transport!O14</f>
        <v>0</v>
      </c>
      <c r="Q20" s="992">
        <f>transport!P14</f>
        <v>0</v>
      </c>
      <c r="R20" s="675">
        <f>SUM(C20:Q20)</f>
        <v>199252.72222096164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17.704141518821316</v>
      </c>
      <c r="D22" s="787">
        <f t="shared" ref="D22:R22" si="1">SUM(D18:D21)</f>
        <v>0</v>
      </c>
      <c r="E22" s="787">
        <f t="shared" si="1"/>
        <v>33.574794924570838</v>
      </c>
      <c r="F22" s="787">
        <f t="shared" si="1"/>
        <v>352.97936143779816</v>
      </c>
      <c r="G22" s="787">
        <f t="shared" si="1"/>
        <v>0</v>
      </c>
      <c r="H22" s="787">
        <f t="shared" si="1"/>
        <v>168809.52974803909</v>
      </c>
      <c r="I22" s="787">
        <f t="shared" si="1"/>
        <v>20799.328815847886</v>
      </c>
      <c r="J22" s="787">
        <f t="shared" si="1"/>
        <v>0</v>
      </c>
      <c r="K22" s="787">
        <f t="shared" si="1"/>
        <v>0</v>
      </c>
      <c r="L22" s="787">
        <f t="shared" si="1"/>
        <v>0</v>
      </c>
      <c r="M22" s="787">
        <f t="shared" si="1"/>
        <v>0</v>
      </c>
      <c r="N22" s="787">
        <f t="shared" si="1"/>
        <v>10420.618297108711</v>
      </c>
      <c r="O22" s="787">
        <f t="shared" si="1"/>
        <v>0</v>
      </c>
      <c r="P22" s="787">
        <f t="shared" si="1"/>
        <v>0</v>
      </c>
      <c r="Q22" s="787">
        <f t="shared" si="1"/>
        <v>0</v>
      </c>
      <c r="R22" s="787">
        <f t="shared" si="1"/>
        <v>200433.73515887687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5322.6677</v>
      </c>
      <c r="D24" s="991">
        <f>+landbouw!C8</f>
        <v>62.357142857142847</v>
      </c>
      <c r="E24" s="991">
        <f>+landbouw!D8</f>
        <v>191.4667241690411</v>
      </c>
      <c r="F24" s="991">
        <f>+landbouw!E8</f>
        <v>49.300777575557817</v>
      </c>
      <c r="G24" s="991">
        <f>+landbouw!F8</f>
        <v>13504.6219220563</v>
      </c>
      <c r="H24" s="991">
        <f>+landbouw!G8</f>
        <v>0</v>
      </c>
      <c r="I24" s="991">
        <f>+landbouw!H8</f>
        <v>0</v>
      </c>
      <c r="J24" s="991">
        <f>+landbouw!I8</f>
        <v>0</v>
      </c>
      <c r="K24" s="991">
        <f>+landbouw!J8</f>
        <v>816.0243595549</v>
      </c>
      <c r="L24" s="991">
        <f>+landbouw!K8</f>
        <v>0</v>
      </c>
      <c r="M24" s="991">
        <f>+landbouw!L8</f>
        <v>0</v>
      </c>
      <c r="N24" s="991">
        <f>+landbouw!M8</f>
        <v>0</v>
      </c>
      <c r="O24" s="991">
        <f>+landbouw!N8</f>
        <v>0</v>
      </c>
      <c r="P24" s="991">
        <f>+landbouw!O8</f>
        <v>0</v>
      </c>
      <c r="Q24" s="992">
        <f>+landbouw!P8</f>
        <v>0</v>
      </c>
      <c r="R24" s="675">
        <f>SUM(C24:Q24)</f>
        <v>19946.438626212941</v>
      </c>
      <c r="S24" s="67"/>
    </row>
    <row r="25" spans="1:19" s="448" customFormat="1" ht="15" thickBot="1">
      <c r="A25" s="806" t="s">
        <v>849</v>
      </c>
      <c r="B25" s="994"/>
      <c r="C25" s="995">
        <f>IF(Onbekend_ele_kWh="---",0,Onbekend_ele_kWh)/1000+IF(REST_rest_ele_kWh="---",0,REST_rest_ele_kWh)/1000</f>
        <v>1881.6880000000001</v>
      </c>
      <c r="D25" s="995"/>
      <c r="E25" s="995">
        <f>IF(onbekend_gas_kWh="---",0,onbekend_gas_kWh)/1000+IF(REST_rest_gas_kWh="---",0,REST_rest_gas_kWh)/1000</f>
        <v>2728.67078336124</v>
      </c>
      <c r="F25" s="995"/>
      <c r="G25" s="995"/>
      <c r="H25" s="995"/>
      <c r="I25" s="995"/>
      <c r="J25" s="995"/>
      <c r="K25" s="995"/>
      <c r="L25" s="995"/>
      <c r="M25" s="995"/>
      <c r="N25" s="995"/>
      <c r="O25" s="995"/>
      <c r="P25" s="995"/>
      <c r="Q25" s="996"/>
      <c r="R25" s="675">
        <f>SUM(C25:Q25)</f>
        <v>4610.3587833612401</v>
      </c>
      <c r="S25" s="67"/>
    </row>
    <row r="26" spans="1:19" s="448" customFormat="1" ht="15.75" thickBot="1">
      <c r="A26" s="680" t="s">
        <v>850</v>
      </c>
      <c r="B26" s="792"/>
      <c r="C26" s="787">
        <f>SUM(C24:C25)</f>
        <v>7204.3557000000001</v>
      </c>
      <c r="D26" s="787">
        <f t="shared" ref="D26:R26" si="2">SUM(D24:D25)</f>
        <v>62.357142857142847</v>
      </c>
      <c r="E26" s="787">
        <f t="shared" si="2"/>
        <v>2920.1375075302813</v>
      </c>
      <c r="F26" s="787">
        <f t="shared" si="2"/>
        <v>49.300777575557817</v>
      </c>
      <c r="G26" s="787">
        <f t="shared" si="2"/>
        <v>13504.6219220563</v>
      </c>
      <c r="H26" s="787">
        <f t="shared" si="2"/>
        <v>0</v>
      </c>
      <c r="I26" s="787">
        <f t="shared" si="2"/>
        <v>0</v>
      </c>
      <c r="J26" s="787">
        <f t="shared" si="2"/>
        <v>0</v>
      </c>
      <c r="K26" s="787">
        <f t="shared" si="2"/>
        <v>816.0243595549</v>
      </c>
      <c r="L26" s="787">
        <f t="shared" si="2"/>
        <v>0</v>
      </c>
      <c r="M26" s="787">
        <f t="shared" si="2"/>
        <v>0</v>
      </c>
      <c r="N26" s="787">
        <f t="shared" si="2"/>
        <v>0</v>
      </c>
      <c r="O26" s="787">
        <f t="shared" si="2"/>
        <v>0</v>
      </c>
      <c r="P26" s="787">
        <f t="shared" si="2"/>
        <v>0</v>
      </c>
      <c r="Q26" s="787">
        <f t="shared" si="2"/>
        <v>0</v>
      </c>
      <c r="R26" s="787">
        <f t="shared" si="2"/>
        <v>24556.797409574181</v>
      </c>
      <c r="S26" s="67"/>
    </row>
    <row r="27" spans="1:19" s="448" customFormat="1" ht="17.25" thickTop="1" thickBot="1">
      <c r="A27" s="681" t="s">
        <v>115</v>
      </c>
      <c r="B27" s="780"/>
      <c r="C27" s="682">
        <f ca="1">C22+C16+C26</f>
        <v>108376.48221385226</v>
      </c>
      <c r="D27" s="682">
        <f t="shared" ref="D27:R27" ca="1" si="3">D22+D16+D26</f>
        <v>1933.0714285714287</v>
      </c>
      <c r="E27" s="682">
        <f t="shared" ca="1" si="3"/>
        <v>225792.9513204424</v>
      </c>
      <c r="F27" s="682">
        <f t="shared" si="3"/>
        <v>24903.857859997144</v>
      </c>
      <c r="G27" s="682">
        <f t="shared" ca="1" si="3"/>
        <v>64812.174178804802</v>
      </c>
      <c r="H27" s="682">
        <f t="shared" si="3"/>
        <v>168809.52974803909</v>
      </c>
      <c r="I27" s="682">
        <f t="shared" si="3"/>
        <v>20799.328815847886</v>
      </c>
      <c r="J27" s="682">
        <f t="shared" si="3"/>
        <v>0</v>
      </c>
      <c r="K27" s="682">
        <f t="shared" si="3"/>
        <v>1495.2389117637313</v>
      </c>
      <c r="L27" s="682">
        <f t="shared" si="3"/>
        <v>0</v>
      </c>
      <c r="M27" s="682">
        <f t="shared" ca="1" si="3"/>
        <v>0</v>
      </c>
      <c r="N27" s="682">
        <f t="shared" si="3"/>
        <v>10420.618297108711</v>
      </c>
      <c r="O27" s="682">
        <f t="shared" ca="1" si="3"/>
        <v>21354.063761185786</v>
      </c>
      <c r="P27" s="682">
        <f t="shared" si="3"/>
        <v>309.54000000000002</v>
      </c>
      <c r="Q27" s="682">
        <f t="shared" si="3"/>
        <v>400.4</v>
      </c>
      <c r="R27" s="682">
        <f t="shared" ca="1" si="3"/>
        <v>649407.25653561309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5515.1157804070672</v>
      </c>
      <c r="D40" s="991">
        <f ca="1">tertiair!C20</f>
        <v>430.22878828950934</v>
      </c>
      <c r="E40" s="991">
        <f ca="1">tertiair!D20</f>
        <v>5079.3409209238762</v>
      </c>
      <c r="F40" s="991">
        <f>tertiair!E20</f>
        <v>62.322288664745855</v>
      </c>
      <c r="G40" s="991">
        <f ca="1">tertiair!F20</f>
        <v>994.71356881585587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12081.721347101055</v>
      </c>
    </row>
    <row r="41" spans="1:18">
      <c r="A41" s="797" t="s">
        <v>224</v>
      </c>
      <c r="B41" s="804"/>
      <c r="C41" s="991">
        <f ca="1">huishoudens!B12</f>
        <v>4036.4825092679744</v>
      </c>
      <c r="D41" s="991">
        <f ca="1">huishoudens!C12</f>
        <v>0</v>
      </c>
      <c r="E41" s="991">
        <f>huishoudens!D12</f>
        <v>8861.8412293675246</v>
      </c>
      <c r="F41" s="991">
        <f>huishoudens!E12</f>
        <v>4691.4255290655356</v>
      </c>
      <c r="G41" s="991">
        <f>huishoudens!F12</f>
        <v>1052.6445532789517</v>
      </c>
      <c r="H41" s="991">
        <f>huishoudens!G12</f>
        <v>0</v>
      </c>
      <c r="I41" s="991">
        <f>huishoudens!H12</f>
        <v>0</v>
      </c>
      <c r="J41" s="991">
        <f>huishoudens!I12</f>
        <v>0</v>
      </c>
      <c r="K41" s="991">
        <f>huishoudens!J12</f>
        <v>56.943913256110626</v>
      </c>
      <c r="L41" s="991">
        <f>huishoudens!K12</f>
        <v>0</v>
      </c>
      <c r="M41" s="991">
        <f>huishoudens!L12</f>
        <v>0</v>
      </c>
      <c r="N41" s="991">
        <f>huishoudens!M12</f>
        <v>0</v>
      </c>
      <c r="O41" s="991">
        <f>huishoudens!N12</f>
        <v>0</v>
      </c>
      <c r="P41" s="991">
        <f>huishoudens!O12</f>
        <v>0</v>
      </c>
      <c r="Q41" s="749">
        <f>huishoudens!P12</f>
        <v>0</v>
      </c>
      <c r="R41" s="825">
        <f t="shared" ca="1" si="4"/>
        <v>18699.337734236095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10571.10479204582</v>
      </c>
      <c r="D43" s="991">
        <f ca="1">industrie!C22</f>
        <v>0</v>
      </c>
      <c r="E43" s="991">
        <f>industrie!D22</f>
        <v>31072.344131342084</v>
      </c>
      <c r="F43" s="991">
        <f>industrie!E22</f>
        <v>808.11032493303821</v>
      </c>
      <c r="G43" s="991">
        <f>industrie!F22</f>
        <v>11651.758330457043</v>
      </c>
      <c r="H43" s="991">
        <f>industrie!G22</f>
        <v>0</v>
      </c>
      <c r="I43" s="991">
        <f>industrie!H22</f>
        <v>0</v>
      </c>
      <c r="J43" s="991">
        <f>industrie!I22</f>
        <v>0</v>
      </c>
      <c r="K43" s="991">
        <f>industrie!J22</f>
        <v>183.49803822581566</v>
      </c>
      <c r="L43" s="991">
        <f>industrie!K22</f>
        <v>0</v>
      </c>
      <c r="M43" s="991">
        <f>industrie!L22</f>
        <v>0</v>
      </c>
      <c r="N43" s="991">
        <f>industrie!M22</f>
        <v>0</v>
      </c>
      <c r="O43" s="991">
        <f>industrie!N22</f>
        <v>0</v>
      </c>
      <c r="P43" s="991">
        <f>industrie!O22</f>
        <v>0</v>
      </c>
      <c r="Q43" s="749">
        <f>industrie!P22</f>
        <v>0</v>
      </c>
      <c r="R43" s="824">
        <f t="shared" ca="1" si="4"/>
        <v>54286.815617003806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20122.703081720862</v>
      </c>
      <c r="D46" s="707">
        <f t="shared" ref="D46:Q46" ca="1" si="5">SUM(D39:D45)</f>
        <v>430.22878828950934</v>
      </c>
      <c r="E46" s="707">
        <f t="shared" ca="1" si="5"/>
        <v>45013.526281633487</v>
      </c>
      <c r="F46" s="707">
        <f t="shared" si="5"/>
        <v>5561.8581426633191</v>
      </c>
      <c r="G46" s="707">
        <f t="shared" ca="1" si="5"/>
        <v>13699.116452551851</v>
      </c>
      <c r="H46" s="707">
        <f t="shared" si="5"/>
        <v>0</v>
      </c>
      <c r="I46" s="707">
        <f t="shared" si="5"/>
        <v>0</v>
      </c>
      <c r="J46" s="707">
        <f t="shared" si="5"/>
        <v>0</v>
      </c>
      <c r="K46" s="707">
        <f t="shared" si="5"/>
        <v>240.44195148192628</v>
      </c>
      <c r="L46" s="707">
        <f t="shared" si="5"/>
        <v>0</v>
      </c>
      <c r="M46" s="707">
        <f t="shared" ca="1" si="5"/>
        <v>0</v>
      </c>
      <c r="N46" s="707">
        <f t="shared" si="5"/>
        <v>0</v>
      </c>
      <c r="O46" s="707">
        <f t="shared" ca="1" si="5"/>
        <v>0</v>
      </c>
      <c r="P46" s="707">
        <f t="shared" si="5"/>
        <v>0</v>
      </c>
      <c r="Q46" s="707">
        <f t="shared" si="5"/>
        <v>0</v>
      </c>
      <c r="R46" s="707">
        <f ca="1">SUM(R39:R45)</f>
        <v>85067.874698340951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298.28158680368796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298.28158680368796</v>
      </c>
    </row>
    <row r="50" spans="1:18">
      <c r="A50" s="800" t="s">
        <v>306</v>
      </c>
      <c r="B50" s="810"/>
      <c r="C50" s="678">
        <f ca="1">transport!B18</f>
        <v>3.5218942953249135</v>
      </c>
      <c r="D50" s="678">
        <f>transport!C18</f>
        <v>0</v>
      </c>
      <c r="E50" s="678">
        <f>transport!D18</f>
        <v>6.7821085747633099</v>
      </c>
      <c r="F50" s="678">
        <f>transport!E18</f>
        <v>80.126315046380185</v>
      </c>
      <c r="G50" s="678">
        <f>transport!F18</f>
        <v>0</v>
      </c>
      <c r="H50" s="678">
        <f>transport!G18</f>
        <v>44773.862855922751</v>
      </c>
      <c r="I50" s="678">
        <f>transport!H18</f>
        <v>5179.0328751461238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50043.326048985342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3.5218942953249135</v>
      </c>
      <c r="D52" s="707">
        <f t="shared" ref="D52:Q52" ca="1" si="6">SUM(D48:D51)</f>
        <v>0</v>
      </c>
      <c r="E52" s="707">
        <f t="shared" si="6"/>
        <v>6.7821085747633099</v>
      </c>
      <c r="F52" s="707">
        <f t="shared" si="6"/>
        <v>80.126315046380185</v>
      </c>
      <c r="G52" s="707">
        <f t="shared" si="6"/>
        <v>0</v>
      </c>
      <c r="H52" s="707">
        <f t="shared" si="6"/>
        <v>45072.144442726436</v>
      </c>
      <c r="I52" s="707">
        <f t="shared" si="6"/>
        <v>5179.0328751461238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50341.607635789027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1058.841118537795</v>
      </c>
      <c r="D54" s="678">
        <f ca="1">+landbouw!C12</f>
        <v>14.340959609650309</v>
      </c>
      <c r="E54" s="678">
        <f>+landbouw!D12</f>
        <v>38.676278282146306</v>
      </c>
      <c r="F54" s="678">
        <f>+landbouw!E12</f>
        <v>11.191276509651624</v>
      </c>
      <c r="G54" s="678">
        <f>+landbouw!F12</f>
        <v>3605.7340531890322</v>
      </c>
      <c r="H54" s="678">
        <f>+landbouw!G12</f>
        <v>0</v>
      </c>
      <c r="I54" s="678">
        <f>+landbouw!H12</f>
        <v>0</v>
      </c>
      <c r="J54" s="678">
        <f>+landbouw!I12</f>
        <v>0</v>
      </c>
      <c r="K54" s="678">
        <f>+landbouw!J12</f>
        <v>288.87262328243457</v>
      </c>
      <c r="L54" s="678">
        <f>+landbouw!K12</f>
        <v>0</v>
      </c>
      <c r="M54" s="678">
        <f>+landbouw!L12</f>
        <v>0</v>
      </c>
      <c r="N54" s="678">
        <f>+landbouw!M12</f>
        <v>0</v>
      </c>
      <c r="O54" s="678">
        <f>+landbouw!N12</f>
        <v>0</v>
      </c>
      <c r="P54" s="678">
        <f>+landbouw!O12</f>
        <v>0</v>
      </c>
      <c r="Q54" s="679">
        <f>+landbouw!P12</f>
        <v>0</v>
      </c>
      <c r="R54" s="706">
        <f ca="1">SUM(C54:Q54)</f>
        <v>5017.6563094107105</v>
      </c>
    </row>
    <row r="55" spans="1:18" ht="15" thickBot="1">
      <c r="A55" s="800" t="s">
        <v>849</v>
      </c>
      <c r="B55" s="810"/>
      <c r="C55" s="678">
        <f ca="1">C25*'EF ele_warmte'!B12</f>
        <v>374.32519536381096</v>
      </c>
      <c r="D55" s="678"/>
      <c r="E55" s="678">
        <f>E25*EF_CO2_aardgas</f>
        <v>551.19149823897055</v>
      </c>
      <c r="F55" s="678"/>
      <c r="G55" s="678"/>
      <c r="H55" s="678"/>
      <c r="I55" s="678"/>
      <c r="J55" s="678"/>
      <c r="K55" s="678"/>
      <c r="L55" s="678"/>
      <c r="M55" s="678"/>
      <c r="N55" s="678"/>
      <c r="O55" s="678"/>
      <c r="P55" s="678"/>
      <c r="Q55" s="679"/>
      <c r="R55" s="706">
        <f ca="1">SUM(C55:Q55)</f>
        <v>925.51669360278152</v>
      </c>
    </row>
    <row r="56" spans="1:18" ht="15.75" thickBot="1">
      <c r="A56" s="798" t="s">
        <v>850</v>
      </c>
      <c r="B56" s="811"/>
      <c r="C56" s="707">
        <f ca="1">SUM(C54:C55)</f>
        <v>1433.1663139016059</v>
      </c>
      <c r="D56" s="707">
        <f t="shared" ref="D56:Q56" ca="1" si="7">SUM(D54:D55)</f>
        <v>14.340959609650309</v>
      </c>
      <c r="E56" s="707">
        <f t="shared" si="7"/>
        <v>589.86777652111687</v>
      </c>
      <c r="F56" s="707">
        <f t="shared" si="7"/>
        <v>11.191276509651624</v>
      </c>
      <c r="G56" s="707">
        <f t="shared" si="7"/>
        <v>3605.7340531890322</v>
      </c>
      <c r="H56" s="707">
        <f t="shared" si="7"/>
        <v>0</v>
      </c>
      <c r="I56" s="707">
        <f t="shared" si="7"/>
        <v>0</v>
      </c>
      <c r="J56" s="707">
        <f t="shared" si="7"/>
        <v>0</v>
      </c>
      <c r="K56" s="707">
        <f t="shared" si="7"/>
        <v>288.87262328243457</v>
      </c>
      <c r="L56" s="707">
        <f t="shared" si="7"/>
        <v>0</v>
      </c>
      <c r="M56" s="707">
        <f t="shared" si="7"/>
        <v>0</v>
      </c>
      <c r="N56" s="707">
        <f t="shared" si="7"/>
        <v>0</v>
      </c>
      <c r="O56" s="707">
        <f t="shared" si="7"/>
        <v>0</v>
      </c>
      <c r="P56" s="707">
        <f t="shared" si="7"/>
        <v>0</v>
      </c>
      <c r="Q56" s="708">
        <f t="shared" si="7"/>
        <v>0</v>
      </c>
      <c r="R56" s="709">
        <f ca="1">SUM(R54:R55)</f>
        <v>5943.1730030134922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21559.391289917792</v>
      </c>
      <c r="D61" s="715">
        <f t="shared" ref="D61:Q61" ca="1" si="8">D46+D52+D56</f>
        <v>444.56974789915967</v>
      </c>
      <c r="E61" s="715">
        <f t="shared" ca="1" si="8"/>
        <v>45610.176166729369</v>
      </c>
      <c r="F61" s="715">
        <f t="shared" si="8"/>
        <v>5653.1757342193505</v>
      </c>
      <c r="G61" s="715">
        <f t="shared" ca="1" si="8"/>
        <v>17304.850505740884</v>
      </c>
      <c r="H61" s="715">
        <f t="shared" si="8"/>
        <v>45072.144442726436</v>
      </c>
      <c r="I61" s="715">
        <f t="shared" si="8"/>
        <v>5179.0328751461238</v>
      </c>
      <c r="J61" s="715">
        <f t="shared" si="8"/>
        <v>0</v>
      </c>
      <c r="K61" s="715">
        <f t="shared" si="8"/>
        <v>529.31457476436083</v>
      </c>
      <c r="L61" s="715">
        <f t="shared" si="8"/>
        <v>0</v>
      </c>
      <c r="M61" s="715">
        <f t="shared" ca="1" si="8"/>
        <v>0</v>
      </c>
      <c r="N61" s="715">
        <f t="shared" si="8"/>
        <v>0</v>
      </c>
      <c r="O61" s="715">
        <f t="shared" ca="1" si="8"/>
        <v>0</v>
      </c>
      <c r="P61" s="715">
        <f t="shared" si="8"/>
        <v>0</v>
      </c>
      <c r="Q61" s="715">
        <f t="shared" si="8"/>
        <v>0</v>
      </c>
      <c r="R61" s="715">
        <f ca="1">R46+R52+R56</f>
        <v>141352.65533714346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0.19893053224754101</v>
      </c>
      <c r="D63" s="756">
        <f t="shared" ca="1" si="9"/>
        <v>0.22998102466793169</v>
      </c>
      <c r="E63" s="1002">
        <f t="shared" ca="1" si="9"/>
        <v>0.20200000000000001</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10877.664945126544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43.65</v>
      </c>
      <c r="C76" s="725">
        <f>'lokale energieproductie'!B8*IFERROR(SUM(D76:H76)/SUM(D76:O76),0)</f>
        <v>1309.5000000000002</v>
      </c>
      <c r="D76" s="1012">
        <f>'lokale energieproductie'!C8</f>
        <v>1540.5882352941176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311.19882352941175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10921.314945126544</v>
      </c>
      <c r="C78" s="730">
        <f>SUM(C72:C77)</f>
        <v>1309.5000000000002</v>
      </c>
      <c r="D78" s="731">
        <f t="shared" ref="D78:H78" si="10">SUM(D76:D77)</f>
        <v>1540.5882352941176</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311.19882352941175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1870.7142857142858</v>
      </c>
      <c r="D87" s="752">
        <f>'lokale energieproductie'!C17</f>
        <v>2200.8403361344535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444.56974789915967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1870.7142857142858</v>
      </c>
      <c r="D90" s="730">
        <f t="shared" ref="D90:H90" si="12">SUM(D87:D89)</f>
        <v>2200.8403361344535</v>
      </c>
      <c r="E90" s="730">
        <f t="shared" si="12"/>
        <v>0</v>
      </c>
      <c r="F90" s="730">
        <f t="shared" si="12"/>
        <v>0</v>
      </c>
      <c r="G90" s="730">
        <f t="shared" si="12"/>
        <v>0</v>
      </c>
      <c r="H90" s="730">
        <f t="shared" si="12"/>
        <v>0</v>
      </c>
      <c r="I90" s="730">
        <f>SUM(I87:I89)</f>
        <v>0</v>
      </c>
      <c r="J90" s="730">
        <f>SUM(J87:J89)</f>
        <v>73.3613445378151</v>
      </c>
      <c r="K90" s="730">
        <f t="shared" ref="K90:L90" si="13">SUM(K87:K89)</f>
        <v>0</v>
      </c>
      <c r="L90" s="730">
        <f t="shared" si="13"/>
        <v>0</v>
      </c>
      <c r="M90" s="730">
        <f>SUM(M87:M89)</f>
        <v>0</v>
      </c>
      <c r="N90" s="730">
        <f>SUM(N87:N89)</f>
        <v>0</v>
      </c>
      <c r="O90" s="730">
        <f>SUM(O87:O89)</f>
        <v>0</v>
      </c>
      <c r="P90" s="730">
        <v>0</v>
      </c>
      <c r="Q90" s="730">
        <f>SUM(Q87:Q89)</f>
        <v>444.56974789915967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20290.914942333442</v>
      </c>
      <c r="C4" s="452">
        <f>huishoudens!C8</f>
        <v>0</v>
      </c>
      <c r="D4" s="452">
        <f>huishoudens!D8</f>
        <v>43870.501135482795</v>
      </c>
      <c r="E4" s="452">
        <f>huishoudens!E8</f>
        <v>20667.072815266674</v>
      </c>
      <c r="F4" s="452">
        <f>huishoudens!F8</f>
        <v>3942.4889635915792</v>
      </c>
      <c r="G4" s="452">
        <f>huishoudens!G8</f>
        <v>0</v>
      </c>
      <c r="H4" s="452">
        <f>huishoudens!H8</f>
        <v>0</v>
      </c>
      <c r="I4" s="452">
        <f>huishoudens!I8</f>
        <v>0</v>
      </c>
      <c r="J4" s="452">
        <f>huishoudens!J8</f>
        <v>160.85851202291138</v>
      </c>
      <c r="K4" s="452">
        <f>huishoudens!K8</f>
        <v>0</v>
      </c>
      <c r="L4" s="452">
        <f>huishoudens!L8</f>
        <v>0</v>
      </c>
      <c r="M4" s="452">
        <f>huishoudens!M8</f>
        <v>0</v>
      </c>
      <c r="N4" s="452">
        <f>huishoudens!N8</f>
        <v>8984.3828169849912</v>
      </c>
      <c r="O4" s="452">
        <f>huishoudens!O8</f>
        <v>300.16000000000003</v>
      </c>
      <c r="P4" s="453">
        <f>huishoudens!P8</f>
        <v>362.26666666666665</v>
      </c>
      <c r="Q4" s="454">
        <f>SUM(B4:P4)</f>
        <v>98578.645852349044</v>
      </c>
    </row>
    <row r="5" spans="1:17">
      <c r="A5" s="451" t="s">
        <v>155</v>
      </c>
      <c r="B5" s="452">
        <f ca="1">tertiair!B16</f>
        <v>26801.629599999997</v>
      </c>
      <c r="C5" s="452">
        <f ca="1">tertiair!C16</f>
        <v>1870.7142857142858</v>
      </c>
      <c r="D5" s="452">
        <f ca="1">tertiair!D16</f>
        <v>25145.252083781565</v>
      </c>
      <c r="E5" s="452">
        <f>tertiair!E16</f>
        <v>274.54752715747071</v>
      </c>
      <c r="F5" s="452">
        <f ca="1">tertiair!F16</f>
        <v>3725.5189843290482</v>
      </c>
      <c r="G5" s="452">
        <f>tertiair!G16</f>
        <v>0</v>
      </c>
      <c r="H5" s="452">
        <f>tertiair!H16</f>
        <v>0</v>
      </c>
      <c r="I5" s="452">
        <f>tertiair!I16</f>
        <v>0</v>
      </c>
      <c r="J5" s="452">
        <f>tertiair!J16</f>
        <v>0</v>
      </c>
      <c r="K5" s="452">
        <f>tertiair!K16</f>
        <v>0</v>
      </c>
      <c r="L5" s="452">
        <f ca="1">tertiair!L16</f>
        <v>0</v>
      </c>
      <c r="M5" s="452">
        <f>tertiair!M16</f>
        <v>0</v>
      </c>
      <c r="N5" s="452">
        <f ca="1">tertiair!N16</f>
        <v>1469.0645594508173</v>
      </c>
      <c r="O5" s="452">
        <f>tertiair!O16</f>
        <v>9.3800000000000008</v>
      </c>
      <c r="P5" s="453">
        <f>tertiair!P16</f>
        <v>38.133333333333333</v>
      </c>
      <c r="Q5" s="451">
        <f t="shared" ref="Q5:Q14" ca="1" si="0">SUM(B5:P5)</f>
        <v>59334.240373766508</v>
      </c>
    </row>
    <row r="6" spans="1:17">
      <c r="A6" s="451" t="s">
        <v>193</v>
      </c>
      <c r="B6" s="452">
        <f>'openbare verlichting'!B8</f>
        <v>922.19799999999998</v>
      </c>
      <c r="C6" s="452"/>
      <c r="D6" s="452"/>
      <c r="E6" s="452"/>
      <c r="F6" s="452"/>
      <c r="G6" s="452"/>
      <c r="H6" s="452"/>
      <c r="I6" s="452"/>
      <c r="J6" s="452"/>
      <c r="K6" s="452"/>
      <c r="L6" s="452"/>
      <c r="M6" s="452"/>
      <c r="N6" s="452"/>
      <c r="O6" s="452"/>
      <c r="P6" s="453"/>
      <c r="Q6" s="451">
        <f t="shared" si="0"/>
        <v>922.19799999999998</v>
      </c>
    </row>
    <row r="7" spans="1:17">
      <c r="A7" s="451" t="s">
        <v>111</v>
      </c>
      <c r="B7" s="452">
        <f>landbouw!B8</f>
        <v>5322.6677</v>
      </c>
      <c r="C7" s="452">
        <f>landbouw!C8</f>
        <v>62.357142857142847</v>
      </c>
      <c r="D7" s="452">
        <f>landbouw!D8</f>
        <v>191.4667241690411</v>
      </c>
      <c r="E7" s="452">
        <f>landbouw!E8</f>
        <v>49.300777575557817</v>
      </c>
      <c r="F7" s="452">
        <f>landbouw!F8</f>
        <v>13504.6219220563</v>
      </c>
      <c r="G7" s="452">
        <f>landbouw!G8</f>
        <v>0</v>
      </c>
      <c r="H7" s="452">
        <f>landbouw!H8</f>
        <v>0</v>
      </c>
      <c r="I7" s="452">
        <f>landbouw!I8</f>
        <v>0</v>
      </c>
      <c r="J7" s="452">
        <f>landbouw!J8</f>
        <v>816.0243595549</v>
      </c>
      <c r="K7" s="452">
        <f>landbouw!K8</f>
        <v>0</v>
      </c>
      <c r="L7" s="452">
        <f>landbouw!L8</f>
        <v>0</v>
      </c>
      <c r="M7" s="452">
        <f>landbouw!M8</f>
        <v>0</v>
      </c>
      <c r="N7" s="452">
        <f>landbouw!N8</f>
        <v>0</v>
      </c>
      <c r="O7" s="452">
        <f>landbouw!O8</f>
        <v>0</v>
      </c>
      <c r="P7" s="453">
        <f>landbouw!P8</f>
        <v>0</v>
      </c>
      <c r="Q7" s="451">
        <f t="shared" si="0"/>
        <v>19946.438626212941</v>
      </c>
    </row>
    <row r="8" spans="1:17">
      <c r="A8" s="451" t="s">
        <v>649</v>
      </c>
      <c r="B8" s="452">
        <f>industrie!B18</f>
        <v>53139.679830000001</v>
      </c>
      <c r="C8" s="452">
        <f>industrie!C18</f>
        <v>0</v>
      </c>
      <c r="D8" s="452">
        <f>industrie!D18</f>
        <v>153823.48579872318</v>
      </c>
      <c r="E8" s="452">
        <f>industrie!E18</f>
        <v>3559.9573785596394</v>
      </c>
      <c r="F8" s="452">
        <f>industrie!F18</f>
        <v>43639.544308827877</v>
      </c>
      <c r="G8" s="452">
        <f>industrie!G18</f>
        <v>0</v>
      </c>
      <c r="H8" s="452">
        <f>industrie!H18</f>
        <v>0</v>
      </c>
      <c r="I8" s="452">
        <f>industrie!I18</f>
        <v>0</v>
      </c>
      <c r="J8" s="452">
        <f>industrie!J18</f>
        <v>518.35604018591994</v>
      </c>
      <c r="K8" s="452">
        <f>industrie!K18</f>
        <v>0</v>
      </c>
      <c r="L8" s="452">
        <f>industrie!L18</f>
        <v>0</v>
      </c>
      <c r="M8" s="452">
        <f>industrie!M18</f>
        <v>0</v>
      </c>
      <c r="N8" s="452">
        <f>industrie!N18</f>
        <v>10900.616384749977</v>
      </c>
      <c r="O8" s="452">
        <f>industrie!O18</f>
        <v>0</v>
      </c>
      <c r="P8" s="453">
        <f>industrie!P18</f>
        <v>0</v>
      </c>
      <c r="Q8" s="451">
        <f t="shared" si="0"/>
        <v>265581.63974104659</v>
      </c>
    </row>
    <row r="9" spans="1:17" s="457" customFormat="1">
      <c r="A9" s="455" t="s">
        <v>570</v>
      </c>
      <c r="B9" s="456">
        <f>transport!B14</f>
        <v>17.704141518821316</v>
      </c>
      <c r="C9" s="456">
        <f>transport!C14</f>
        <v>0</v>
      </c>
      <c r="D9" s="456">
        <f>transport!D14</f>
        <v>33.574794924570838</v>
      </c>
      <c r="E9" s="456">
        <f>transport!E14</f>
        <v>352.97936143779816</v>
      </c>
      <c r="F9" s="456">
        <f>transport!F14</f>
        <v>0</v>
      </c>
      <c r="G9" s="456">
        <f>transport!G14</f>
        <v>167692.37024690167</v>
      </c>
      <c r="H9" s="456">
        <f>transport!H14</f>
        <v>20799.328815847886</v>
      </c>
      <c r="I9" s="456">
        <f>transport!I14</f>
        <v>0</v>
      </c>
      <c r="J9" s="456">
        <f>transport!J14</f>
        <v>0</v>
      </c>
      <c r="K9" s="456">
        <f>transport!K14</f>
        <v>0</v>
      </c>
      <c r="L9" s="456">
        <f>transport!L14</f>
        <v>0</v>
      </c>
      <c r="M9" s="456">
        <f>transport!M14</f>
        <v>10356.764860330884</v>
      </c>
      <c r="N9" s="456">
        <f>transport!N14</f>
        <v>0</v>
      </c>
      <c r="O9" s="456">
        <f>transport!O14</f>
        <v>0</v>
      </c>
      <c r="P9" s="456">
        <f>transport!P14</f>
        <v>0</v>
      </c>
      <c r="Q9" s="455">
        <f>SUM(B9:P9)</f>
        <v>199252.72222096164</v>
      </c>
    </row>
    <row r="10" spans="1:17">
      <c r="A10" s="451" t="s">
        <v>560</v>
      </c>
      <c r="B10" s="452">
        <f>transport!B54</f>
        <v>0</v>
      </c>
      <c r="C10" s="452">
        <f>transport!C54</f>
        <v>0</v>
      </c>
      <c r="D10" s="452">
        <f>transport!D54</f>
        <v>0</v>
      </c>
      <c r="E10" s="452">
        <f>transport!E54</f>
        <v>0</v>
      </c>
      <c r="F10" s="452">
        <f>transport!F54</f>
        <v>0</v>
      </c>
      <c r="G10" s="452">
        <f>transport!G54</f>
        <v>1117.1595011374079</v>
      </c>
      <c r="H10" s="452">
        <f>transport!H54</f>
        <v>0</v>
      </c>
      <c r="I10" s="452">
        <f>transport!I54</f>
        <v>0</v>
      </c>
      <c r="J10" s="452">
        <f>transport!J54</f>
        <v>0</v>
      </c>
      <c r="K10" s="452">
        <f>transport!K54</f>
        <v>0</v>
      </c>
      <c r="L10" s="452">
        <f>transport!L54</f>
        <v>0</v>
      </c>
      <c r="M10" s="452">
        <f>transport!M54</f>
        <v>63.853436777827</v>
      </c>
      <c r="N10" s="452">
        <f>transport!N54</f>
        <v>0</v>
      </c>
      <c r="O10" s="452">
        <f>transport!O54</f>
        <v>0</v>
      </c>
      <c r="P10" s="453">
        <f>transport!P54</f>
        <v>0</v>
      </c>
      <c r="Q10" s="451">
        <f t="shared" si="0"/>
        <v>1181.0129379152349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1881.6880000000001</v>
      </c>
      <c r="C14" s="459"/>
      <c r="D14" s="459">
        <f>'SEAP template'!E25</f>
        <v>2728.67078336124</v>
      </c>
      <c r="E14" s="459"/>
      <c r="F14" s="459"/>
      <c r="G14" s="459"/>
      <c r="H14" s="459"/>
      <c r="I14" s="459"/>
      <c r="J14" s="459"/>
      <c r="K14" s="459"/>
      <c r="L14" s="459"/>
      <c r="M14" s="459"/>
      <c r="N14" s="459"/>
      <c r="O14" s="459"/>
      <c r="P14" s="460"/>
      <c r="Q14" s="451">
        <f t="shared" si="0"/>
        <v>4610.3587833612401</v>
      </c>
    </row>
    <row r="15" spans="1:17" s="461" customFormat="1">
      <c r="A15" s="1017" t="s">
        <v>564</v>
      </c>
      <c r="B15" s="957">
        <f ca="1">SUM(B4:B14)</f>
        <v>108376.48221385224</v>
      </c>
      <c r="C15" s="957">
        <f t="shared" ref="C15:Q15" ca="1" si="1">SUM(C4:C14)</f>
        <v>1933.0714285714287</v>
      </c>
      <c r="D15" s="957">
        <f t="shared" ca="1" si="1"/>
        <v>225792.95132044243</v>
      </c>
      <c r="E15" s="957">
        <f t="shared" si="1"/>
        <v>24903.857859997144</v>
      </c>
      <c r="F15" s="957">
        <f t="shared" ca="1" si="1"/>
        <v>64812.174178804802</v>
      </c>
      <c r="G15" s="957">
        <f t="shared" si="1"/>
        <v>168809.52974803909</v>
      </c>
      <c r="H15" s="957">
        <f t="shared" si="1"/>
        <v>20799.328815847886</v>
      </c>
      <c r="I15" s="957">
        <f t="shared" si="1"/>
        <v>0</v>
      </c>
      <c r="J15" s="957">
        <f t="shared" si="1"/>
        <v>1495.2389117637313</v>
      </c>
      <c r="K15" s="957">
        <f t="shared" si="1"/>
        <v>0</v>
      </c>
      <c r="L15" s="957">
        <f t="shared" ca="1" si="1"/>
        <v>0</v>
      </c>
      <c r="M15" s="957">
        <f t="shared" si="1"/>
        <v>10420.618297108711</v>
      </c>
      <c r="N15" s="957">
        <f t="shared" ca="1" si="1"/>
        <v>21354.063761185786</v>
      </c>
      <c r="O15" s="957">
        <f t="shared" si="1"/>
        <v>309.54000000000002</v>
      </c>
      <c r="P15" s="957">
        <f t="shared" si="1"/>
        <v>400.4</v>
      </c>
      <c r="Q15" s="957">
        <f t="shared" ca="1" si="1"/>
        <v>649407.25653561321</v>
      </c>
    </row>
    <row r="17" spans="1:17">
      <c r="A17" s="462" t="s">
        <v>565</v>
      </c>
      <c r="B17" s="761">
        <f ca="1">huishoudens!B10</f>
        <v>0.19893053224754101</v>
      </c>
      <c r="C17" s="761">
        <f ca="1">huishoudens!C10</f>
        <v>0.22998102466793169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4036.4825092679744</v>
      </c>
      <c r="C22" s="452">
        <f t="shared" ref="C22:C32" ca="1" si="3">C4*$C$17</f>
        <v>0</v>
      </c>
      <c r="D22" s="452">
        <f t="shared" ref="D22:D32" si="4">D4*$D$17</f>
        <v>8861.8412293675246</v>
      </c>
      <c r="E22" s="452">
        <f t="shared" ref="E22:E32" si="5">E4*$E$17</f>
        <v>4691.4255290655356</v>
      </c>
      <c r="F22" s="452">
        <f t="shared" ref="F22:F32" si="6">F4*$F$17</f>
        <v>1052.6445532789517</v>
      </c>
      <c r="G22" s="452">
        <f t="shared" ref="G22:G32" si="7">G4*$G$17</f>
        <v>0</v>
      </c>
      <c r="H22" s="452">
        <f t="shared" ref="H22:H32" si="8">H4*$H$17</f>
        <v>0</v>
      </c>
      <c r="I22" s="452">
        <f t="shared" ref="I22:I32" si="9">I4*$I$17</f>
        <v>0</v>
      </c>
      <c r="J22" s="452">
        <f t="shared" ref="J22:J32" si="10">J4*$J$17</f>
        <v>56.943913256110626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18699.337734236095</v>
      </c>
    </row>
    <row r="23" spans="1:17">
      <c r="A23" s="451" t="s">
        <v>155</v>
      </c>
      <c r="B23" s="452">
        <f t="shared" ca="1" si="2"/>
        <v>5331.6624414294492</v>
      </c>
      <c r="C23" s="452">
        <f t="shared" ca="1" si="3"/>
        <v>430.22878828950934</v>
      </c>
      <c r="D23" s="452">
        <f t="shared" ca="1" si="4"/>
        <v>5079.3409209238762</v>
      </c>
      <c r="E23" s="452">
        <f t="shared" si="5"/>
        <v>62.322288664745855</v>
      </c>
      <c r="F23" s="452">
        <f t="shared" ca="1" si="6"/>
        <v>994.71356881585587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11898.268008123436</v>
      </c>
    </row>
    <row r="24" spans="1:17">
      <c r="A24" s="451" t="s">
        <v>193</v>
      </c>
      <c r="B24" s="452">
        <f t="shared" ca="1" si="2"/>
        <v>183.45333897761782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183.45333897761782</v>
      </c>
    </row>
    <row r="25" spans="1:17">
      <c r="A25" s="451" t="s">
        <v>111</v>
      </c>
      <c r="B25" s="452">
        <f t="shared" ca="1" si="2"/>
        <v>1058.841118537795</v>
      </c>
      <c r="C25" s="452">
        <f t="shared" ca="1" si="3"/>
        <v>14.340959609650309</v>
      </c>
      <c r="D25" s="452">
        <f t="shared" si="4"/>
        <v>38.676278282146306</v>
      </c>
      <c r="E25" s="452">
        <f t="shared" si="5"/>
        <v>11.191276509651624</v>
      </c>
      <c r="F25" s="452">
        <f t="shared" si="6"/>
        <v>3605.7340531890322</v>
      </c>
      <c r="G25" s="452">
        <f t="shared" si="7"/>
        <v>0</v>
      </c>
      <c r="H25" s="452">
        <f t="shared" si="8"/>
        <v>0</v>
      </c>
      <c r="I25" s="452">
        <f t="shared" si="9"/>
        <v>0</v>
      </c>
      <c r="J25" s="452">
        <f t="shared" si="10"/>
        <v>288.87262328243457</v>
      </c>
      <c r="K25" s="452">
        <f t="shared" si="11"/>
        <v>0</v>
      </c>
      <c r="L25" s="452">
        <f t="shared" si="12"/>
        <v>0</v>
      </c>
      <c r="M25" s="452">
        <f t="shared" si="13"/>
        <v>0</v>
      </c>
      <c r="N25" s="452">
        <f t="shared" si="14"/>
        <v>0</v>
      </c>
      <c r="O25" s="452">
        <f t="shared" si="15"/>
        <v>0</v>
      </c>
      <c r="P25" s="453">
        <f t="shared" si="16"/>
        <v>0</v>
      </c>
      <c r="Q25" s="451">
        <f t="shared" ca="1" si="17"/>
        <v>5017.6563094107105</v>
      </c>
    </row>
    <row r="26" spans="1:17">
      <c r="A26" s="451" t="s">
        <v>649</v>
      </c>
      <c r="B26" s="452">
        <f t="shared" ca="1" si="2"/>
        <v>10571.10479204582</v>
      </c>
      <c r="C26" s="452">
        <f t="shared" ca="1" si="3"/>
        <v>0</v>
      </c>
      <c r="D26" s="452">
        <f t="shared" si="4"/>
        <v>31072.344131342084</v>
      </c>
      <c r="E26" s="452">
        <f t="shared" si="5"/>
        <v>808.11032493303821</v>
      </c>
      <c r="F26" s="452">
        <f t="shared" si="6"/>
        <v>11651.758330457043</v>
      </c>
      <c r="G26" s="452">
        <f t="shared" si="7"/>
        <v>0</v>
      </c>
      <c r="H26" s="452">
        <f t="shared" si="8"/>
        <v>0</v>
      </c>
      <c r="I26" s="452">
        <f t="shared" si="9"/>
        <v>0</v>
      </c>
      <c r="J26" s="452">
        <f t="shared" si="10"/>
        <v>183.49803822581566</v>
      </c>
      <c r="K26" s="452">
        <f t="shared" si="11"/>
        <v>0</v>
      </c>
      <c r="L26" s="452">
        <f t="shared" si="12"/>
        <v>0</v>
      </c>
      <c r="M26" s="452">
        <f t="shared" si="13"/>
        <v>0</v>
      </c>
      <c r="N26" s="452">
        <f t="shared" si="14"/>
        <v>0</v>
      </c>
      <c r="O26" s="452">
        <f t="shared" si="15"/>
        <v>0</v>
      </c>
      <c r="P26" s="453">
        <f t="shared" si="16"/>
        <v>0</v>
      </c>
      <c r="Q26" s="451">
        <f t="shared" ca="1" si="17"/>
        <v>54286.815617003806</v>
      </c>
    </row>
    <row r="27" spans="1:17" s="457" customFormat="1">
      <c r="A27" s="455" t="s">
        <v>570</v>
      </c>
      <c r="B27" s="755">
        <f t="shared" ca="1" si="2"/>
        <v>3.5218942953249135</v>
      </c>
      <c r="C27" s="456">
        <f t="shared" ca="1" si="3"/>
        <v>0</v>
      </c>
      <c r="D27" s="456">
        <f t="shared" si="4"/>
        <v>6.7821085747633099</v>
      </c>
      <c r="E27" s="456">
        <f t="shared" si="5"/>
        <v>80.126315046380185</v>
      </c>
      <c r="F27" s="456">
        <f t="shared" si="6"/>
        <v>0</v>
      </c>
      <c r="G27" s="456">
        <f t="shared" si="7"/>
        <v>44773.862855922751</v>
      </c>
      <c r="H27" s="456">
        <f t="shared" si="8"/>
        <v>5179.0328751461238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50043.326048985342</v>
      </c>
    </row>
    <row r="28" spans="1:17">
      <c r="A28" s="451" t="s">
        <v>560</v>
      </c>
      <c r="B28" s="452">
        <f t="shared" ca="1" si="2"/>
        <v>0</v>
      </c>
      <c r="C28" s="452">
        <f t="shared" ca="1" si="3"/>
        <v>0</v>
      </c>
      <c r="D28" s="452">
        <f t="shared" si="4"/>
        <v>0</v>
      </c>
      <c r="E28" s="452">
        <f t="shared" si="5"/>
        <v>0</v>
      </c>
      <c r="F28" s="452">
        <f t="shared" si="6"/>
        <v>0</v>
      </c>
      <c r="G28" s="452">
        <f t="shared" si="7"/>
        <v>298.28158680368796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298.28158680368796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374.32519536381096</v>
      </c>
      <c r="C32" s="452">
        <f t="shared" ca="1" si="3"/>
        <v>0</v>
      </c>
      <c r="D32" s="452">
        <f t="shared" si="4"/>
        <v>551.19149823897055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925.51669360278152</v>
      </c>
    </row>
    <row r="33" spans="1:17" s="461" customFormat="1">
      <c r="A33" s="1017" t="s">
        <v>564</v>
      </c>
      <c r="B33" s="957">
        <f ca="1">SUM(B22:B32)</f>
        <v>21559.391289917792</v>
      </c>
      <c r="C33" s="957">
        <f t="shared" ref="C33:Q33" ca="1" si="18">SUM(C22:C32)</f>
        <v>444.56974789915967</v>
      </c>
      <c r="D33" s="957">
        <f t="shared" ca="1" si="18"/>
        <v>45610.176166729369</v>
      </c>
      <c r="E33" s="957">
        <f t="shared" si="18"/>
        <v>5653.1757342193505</v>
      </c>
      <c r="F33" s="957">
        <f t="shared" ca="1" si="18"/>
        <v>17304.850505740884</v>
      </c>
      <c r="G33" s="957">
        <f t="shared" si="18"/>
        <v>45072.144442726436</v>
      </c>
      <c r="H33" s="957">
        <f t="shared" si="18"/>
        <v>5179.0328751461238</v>
      </c>
      <c r="I33" s="957">
        <f t="shared" si="18"/>
        <v>0</v>
      </c>
      <c r="J33" s="957">
        <f t="shared" si="18"/>
        <v>529.31457476436094</v>
      </c>
      <c r="K33" s="957">
        <f t="shared" si="18"/>
        <v>0</v>
      </c>
      <c r="L33" s="957">
        <f t="shared" ca="1" si="18"/>
        <v>0</v>
      </c>
      <c r="M33" s="957">
        <f t="shared" si="18"/>
        <v>0</v>
      </c>
      <c r="N33" s="957">
        <f t="shared" ca="1" si="18"/>
        <v>0</v>
      </c>
      <c r="O33" s="957">
        <f t="shared" si="18"/>
        <v>0</v>
      </c>
      <c r="P33" s="957">
        <f t="shared" si="18"/>
        <v>0</v>
      </c>
      <c r="Q33" s="957">
        <f t="shared" ca="1" si="18"/>
        <v>141352.65533714349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10877.664945126544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43.65</v>
      </c>
      <c r="C8" s="1034">
        <f>'SEAP template'!C76</f>
        <v>1309.5000000000002</v>
      </c>
      <c r="D8" s="1034">
        <f>'SEAP template'!D76</f>
        <v>1540.5882352941176</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311.19882352941175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10921.314945126544</v>
      </c>
      <c r="C10" s="1038">
        <f>SUM(C4:C9)</f>
        <v>1309.5000000000002</v>
      </c>
      <c r="D10" s="1038">
        <f t="shared" ref="D10:H10" si="0">SUM(D8:D9)</f>
        <v>1540.5882352941176</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311.19882352941175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0.19893053224754101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1870.7142857142858</v>
      </c>
      <c r="D17" s="1035">
        <f>'SEAP template'!D87</f>
        <v>2200.8403361344535</v>
      </c>
      <c r="E17" s="1035">
        <f>'SEAP template'!E87</f>
        <v>0</v>
      </c>
      <c r="F17" s="1035">
        <f>'SEAP template'!F87</f>
        <v>0</v>
      </c>
      <c r="G17" s="1035">
        <f>'SEAP template'!G87</f>
        <v>0</v>
      </c>
      <c r="H17" s="1035">
        <f>'SEAP template'!H87</f>
        <v>0</v>
      </c>
      <c r="I17" s="1035">
        <f>'SEAP template'!I87</f>
        <v>0</v>
      </c>
      <c r="J17" s="1035">
        <f>'SEAP template'!J87</f>
        <v>73.3613445378151</v>
      </c>
      <c r="K17" s="1035">
        <f>'SEAP template'!K87</f>
        <v>0</v>
      </c>
      <c r="L17" s="1035">
        <f>'SEAP template'!L87</f>
        <v>0</v>
      </c>
      <c r="M17" s="1035">
        <f>'SEAP template'!M87</f>
        <v>0</v>
      </c>
      <c r="N17" s="1035">
        <f>'SEAP template'!N87</f>
        <v>0</v>
      </c>
      <c r="O17" s="1035">
        <f>'SEAP template'!O87</f>
        <v>0</v>
      </c>
      <c r="P17" s="1035">
        <f>'SEAP template'!Q87</f>
        <v>444.56974789915967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1870.7142857142858</v>
      </c>
      <c r="D20" s="1038">
        <f t="shared" ref="D20:H20" si="2">SUM(D17:D19)</f>
        <v>2200.8403361344535</v>
      </c>
      <c r="E20" s="1038">
        <f t="shared" si="2"/>
        <v>0</v>
      </c>
      <c r="F20" s="1038">
        <f t="shared" si="2"/>
        <v>0</v>
      </c>
      <c r="G20" s="1038">
        <f t="shared" si="2"/>
        <v>0</v>
      </c>
      <c r="H20" s="1038">
        <f t="shared" si="2"/>
        <v>0</v>
      </c>
      <c r="I20" s="1038">
        <f>SUM(I17:I19)</f>
        <v>0</v>
      </c>
      <c r="J20" s="1038">
        <f>SUM(J17:J19)</f>
        <v>73.3613445378151</v>
      </c>
      <c r="K20" s="1038">
        <f t="shared" ref="K20:L20" si="3">SUM(K17:K19)</f>
        <v>0</v>
      </c>
      <c r="L20" s="1038">
        <f t="shared" si="3"/>
        <v>0</v>
      </c>
      <c r="M20" s="1038">
        <f>SUM(M17:M19)</f>
        <v>0</v>
      </c>
      <c r="N20" s="1038">
        <f>SUM(N17:N19)</f>
        <v>0</v>
      </c>
      <c r="O20" s="1038">
        <f>SUM(O17:O19)</f>
        <v>0</v>
      </c>
      <c r="P20" s="1038">
        <f>SUM(P17:P19)</f>
        <v>444.56974789915967</v>
      </c>
    </row>
    <row r="22" spans="1:16">
      <c r="A22" s="462" t="s">
        <v>873</v>
      </c>
      <c r="B22" s="761" t="s">
        <v>867</v>
      </c>
      <c r="C22" s="761">
        <f ca="1">'EF ele_warmte'!B22</f>
        <v>0.22998102466793169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0.19893053224754101</v>
      </c>
      <c r="C17" s="499">
        <f ca="1">'EF ele_warmte'!B22</f>
        <v>0.22998102466793169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0.19893053224754101</v>
      </c>
      <c r="C17" s="499">
        <f ca="1">'EF ele_warmte'!B22</f>
        <v>0.22998102466793169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0.19893053224754101</v>
      </c>
      <c r="C29" s="500">
        <f ca="1">'EF ele_warmte'!B22</f>
        <v>0.22998102466793169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4872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8092</v>
      </c>
      <c r="C14" s="330"/>
      <c r="D14" s="330"/>
      <c r="E14" s="330"/>
      <c r="F14" s="330"/>
    </row>
    <row r="15" spans="1:6">
      <c r="A15" s="1305" t="s">
        <v>183</v>
      </c>
      <c r="B15" s="1306">
        <v>1082</v>
      </c>
      <c r="C15" s="330"/>
      <c r="D15" s="330"/>
      <c r="E15" s="330"/>
      <c r="F15" s="330"/>
    </row>
    <row r="16" spans="1:6">
      <c r="A16" s="1305" t="s">
        <v>6</v>
      </c>
      <c r="B16" s="1306">
        <v>2197</v>
      </c>
      <c r="C16" s="330"/>
      <c r="D16" s="330"/>
      <c r="E16" s="330"/>
      <c r="F16" s="330"/>
    </row>
    <row r="17" spans="1:6">
      <c r="A17" s="1305" t="s">
        <v>7</v>
      </c>
      <c r="B17" s="1306">
        <v>2005</v>
      </c>
      <c r="C17" s="330"/>
      <c r="D17" s="330"/>
      <c r="E17" s="330"/>
      <c r="F17" s="330"/>
    </row>
    <row r="18" spans="1:6">
      <c r="A18" s="1305" t="s">
        <v>8</v>
      </c>
      <c r="B18" s="1306">
        <v>3020</v>
      </c>
      <c r="C18" s="330"/>
      <c r="D18" s="330"/>
      <c r="E18" s="330"/>
      <c r="F18" s="330"/>
    </row>
    <row r="19" spans="1:6">
      <c r="A19" s="1305" t="s">
        <v>9</v>
      </c>
      <c r="B19" s="1306">
        <v>2704</v>
      </c>
      <c r="C19" s="330"/>
      <c r="D19" s="330"/>
      <c r="E19" s="330"/>
      <c r="F19" s="330"/>
    </row>
    <row r="20" spans="1:6">
      <c r="A20" s="1305" t="s">
        <v>10</v>
      </c>
      <c r="B20" s="1306">
        <v>1333</v>
      </c>
      <c r="C20" s="330"/>
      <c r="D20" s="330"/>
      <c r="E20" s="330"/>
      <c r="F20" s="330"/>
    </row>
    <row r="21" spans="1:6">
      <c r="A21" s="1305" t="s">
        <v>11</v>
      </c>
      <c r="B21" s="1306">
        <v>23018</v>
      </c>
      <c r="C21" s="330"/>
      <c r="D21" s="330"/>
      <c r="E21" s="330"/>
      <c r="F21" s="330"/>
    </row>
    <row r="22" spans="1:6">
      <c r="A22" s="1305" t="s">
        <v>12</v>
      </c>
      <c r="B22" s="1306">
        <v>45821</v>
      </c>
      <c r="C22" s="330"/>
      <c r="D22" s="330"/>
      <c r="E22" s="330"/>
      <c r="F22" s="330"/>
    </row>
    <row r="23" spans="1:6">
      <c r="A23" s="1305" t="s">
        <v>13</v>
      </c>
      <c r="B23" s="1306">
        <v>917</v>
      </c>
      <c r="C23" s="330"/>
      <c r="D23" s="330"/>
      <c r="E23" s="330"/>
      <c r="F23" s="330"/>
    </row>
    <row r="24" spans="1:6">
      <c r="A24" s="1305" t="s">
        <v>14</v>
      </c>
      <c r="B24" s="1306">
        <v>66</v>
      </c>
      <c r="C24" s="330"/>
      <c r="D24" s="330"/>
      <c r="E24" s="330"/>
      <c r="F24" s="330"/>
    </row>
    <row r="25" spans="1:6">
      <c r="A25" s="1305" t="s">
        <v>15</v>
      </c>
      <c r="B25" s="1306">
        <v>5998</v>
      </c>
      <c r="C25" s="330"/>
      <c r="D25" s="330"/>
      <c r="E25" s="330"/>
      <c r="F25" s="330"/>
    </row>
    <row r="26" spans="1:6">
      <c r="A26" s="1305" t="s">
        <v>16</v>
      </c>
      <c r="B26" s="1306">
        <v>462</v>
      </c>
      <c r="C26" s="330"/>
      <c r="D26" s="330"/>
      <c r="E26" s="330"/>
      <c r="F26" s="330"/>
    </row>
    <row r="27" spans="1:6">
      <c r="A27" s="1305" t="s">
        <v>17</v>
      </c>
      <c r="B27" s="1306">
        <v>6</v>
      </c>
      <c r="C27" s="330"/>
      <c r="D27" s="330"/>
      <c r="E27" s="330"/>
      <c r="F27" s="330"/>
    </row>
    <row r="28" spans="1:6" s="43" customFormat="1">
      <c r="A28" s="1307" t="s">
        <v>18</v>
      </c>
      <c r="B28" s="1308">
        <v>771949</v>
      </c>
      <c r="C28" s="336"/>
      <c r="D28" s="336"/>
      <c r="E28" s="336"/>
      <c r="F28" s="336"/>
    </row>
    <row r="29" spans="1:6">
      <c r="A29" s="1307" t="s">
        <v>909</v>
      </c>
      <c r="B29" s="1308">
        <v>110</v>
      </c>
      <c r="C29" s="336"/>
      <c r="D29" s="336"/>
      <c r="E29" s="336"/>
      <c r="F29" s="336"/>
    </row>
    <row r="30" spans="1:6">
      <c r="A30" s="1300" t="s">
        <v>910</v>
      </c>
      <c r="B30" s="1309">
        <v>34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9</v>
      </c>
      <c r="F36" s="1306">
        <v>164046.9</v>
      </c>
    </row>
    <row r="37" spans="1:6">
      <c r="A37" s="1305" t="s">
        <v>24</v>
      </c>
      <c r="B37" s="1305" t="s">
        <v>27</v>
      </c>
      <c r="C37" s="1306">
        <v>0</v>
      </c>
      <c r="D37" s="1306">
        <v>0</v>
      </c>
      <c r="E37" s="1306">
        <v>0</v>
      </c>
      <c r="F37" s="1306">
        <v>0</v>
      </c>
    </row>
    <row r="38" spans="1:6">
      <c r="A38" s="1305" t="s">
        <v>24</v>
      </c>
      <c r="B38" s="1305" t="s">
        <v>28</v>
      </c>
      <c r="C38" s="1306">
        <v>4</v>
      </c>
      <c r="D38" s="1306">
        <v>382951.56945348298</v>
      </c>
      <c r="E38" s="1306">
        <v>1</v>
      </c>
      <c r="F38" s="1306">
        <v>11969.38</v>
      </c>
    </row>
    <row r="39" spans="1:6">
      <c r="A39" s="1305" t="s">
        <v>29</v>
      </c>
      <c r="B39" s="1305" t="s">
        <v>30</v>
      </c>
      <c r="C39" s="1306">
        <v>3584</v>
      </c>
      <c r="D39" s="1306">
        <v>48636919.218938798</v>
      </c>
      <c r="E39" s="1306">
        <v>4746</v>
      </c>
      <c r="F39" s="1306">
        <v>17619734</v>
      </c>
    </row>
    <row r="40" spans="1:6">
      <c r="A40" s="1305" t="s">
        <v>29</v>
      </c>
      <c r="B40" s="1305" t="s">
        <v>28</v>
      </c>
      <c r="C40" s="1306">
        <v>0</v>
      </c>
      <c r="D40" s="1306">
        <v>0</v>
      </c>
      <c r="E40" s="1306">
        <v>0</v>
      </c>
      <c r="F40" s="1306">
        <v>0</v>
      </c>
    </row>
    <row r="41" spans="1:6">
      <c r="A41" s="1305" t="s">
        <v>31</v>
      </c>
      <c r="B41" s="1305" t="s">
        <v>32</v>
      </c>
      <c r="C41" s="1306">
        <v>80</v>
      </c>
      <c r="D41" s="1306">
        <v>1913083.6524523001</v>
      </c>
      <c r="E41" s="1306">
        <v>149</v>
      </c>
      <c r="F41" s="1306">
        <v>6938566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151242.80830574399</v>
      </c>
      <c r="E44" s="1306">
        <v>22</v>
      </c>
      <c r="F44" s="1306">
        <v>745309.2</v>
      </c>
    </row>
    <row r="45" spans="1:6">
      <c r="A45" s="1305" t="s">
        <v>31</v>
      </c>
      <c r="B45" s="1305" t="s">
        <v>36</v>
      </c>
      <c r="C45" s="1306">
        <v>0</v>
      </c>
      <c r="D45" s="1306">
        <v>0</v>
      </c>
      <c r="E45" s="1306">
        <v>3</v>
      </c>
      <c r="F45" s="1306">
        <v>69619.63</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41</v>
      </c>
      <c r="D48" s="1306">
        <v>162251612.32278901</v>
      </c>
      <c r="E48" s="1306">
        <v>44</v>
      </c>
      <c r="F48" s="1306">
        <v>28776410</v>
      </c>
    </row>
    <row r="49" spans="1:6">
      <c r="A49" s="1305" t="s">
        <v>31</v>
      </c>
      <c r="B49" s="1305" t="s">
        <v>39</v>
      </c>
      <c r="C49" s="1306">
        <v>0</v>
      </c>
      <c r="D49" s="1306">
        <v>0</v>
      </c>
      <c r="E49" s="1306">
        <v>0</v>
      </c>
      <c r="F49" s="1306">
        <v>0</v>
      </c>
    </row>
    <row r="50" spans="1:6">
      <c r="A50" s="1305" t="s">
        <v>31</v>
      </c>
      <c r="B50" s="1305" t="s">
        <v>40</v>
      </c>
      <c r="C50" s="1306">
        <v>16</v>
      </c>
      <c r="D50" s="1306">
        <v>6220076.5143722203</v>
      </c>
      <c r="E50" s="1306">
        <v>29</v>
      </c>
      <c r="F50" s="1306">
        <v>16609775</v>
      </c>
    </row>
    <row r="51" spans="1:6">
      <c r="A51" s="1305" t="s">
        <v>41</v>
      </c>
      <c r="B51" s="1305" t="s">
        <v>42</v>
      </c>
      <c r="C51" s="1306">
        <v>9</v>
      </c>
      <c r="D51" s="1306">
        <v>138191.14466776099</v>
      </c>
      <c r="E51" s="1306">
        <v>199</v>
      </c>
      <c r="F51" s="1306">
        <v>5155718</v>
      </c>
    </row>
    <row r="52" spans="1:6">
      <c r="A52" s="1305" t="s">
        <v>41</v>
      </c>
      <c r="B52" s="1305" t="s">
        <v>28</v>
      </c>
      <c r="C52" s="1306">
        <v>4</v>
      </c>
      <c r="D52" s="1306">
        <v>74077.950863326696</v>
      </c>
      <c r="E52" s="1306">
        <v>10</v>
      </c>
      <c r="F52" s="1306">
        <v>166949.70000000001</v>
      </c>
    </row>
    <row r="53" spans="1:6">
      <c r="A53" s="1305" t="s">
        <v>43</v>
      </c>
      <c r="B53" s="1305" t="s">
        <v>44</v>
      </c>
      <c r="C53" s="1306">
        <v>153</v>
      </c>
      <c r="D53" s="1306">
        <v>2728670.7833612398</v>
      </c>
      <c r="E53" s="1306">
        <v>280</v>
      </c>
      <c r="F53" s="1306">
        <v>1881688</v>
      </c>
    </row>
    <row r="54" spans="1:6">
      <c r="A54" s="1305" t="s">
        <v>45</v>
      </c>
      <c r="B54" s="1305" t="s">
        <v>46</v>
      </c>
      <c r="C54" s="1306">
        <v>0</v>
      </c>
      <c r="D54" s="1306">
        <v>0</v>
      </c>
      <c r="E54" s="1306">
        <v>1</v>
      </c>
      <c r="F54" s="1306">
        <v>922198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45</v>
      </c>
      <c r="D57" s="1306">
        <v>1532157.21411746</v>
      </c>
      <c r="E57" s="1306">
        <v>79</v>
      </c>
      <c r="F57" s="1306">
        <v>1151138</v>
      </c>
    </row>
    <row r="58" spans="1:6">
      <c r="A58" s="1305" t="s">
        <v>48</v>
      </c>
      <c r="B58" s="1305" t="s">
        <v>50</v>
      </c>
      <c r="C58" s="1306">
        <v>21</v>
      </c>
      <c r="D58" s="1306">
        <v>855188.75171027298</v>
      </c>
      <c r="E58" s="1306">
        <v>22</v>
      </c>
      <c r="F58" s="1306">
        <v>929503.8</v>
      </c>
    </row>
    <row r="59" spans="1:6">
      <c r="A59" s="1305" t="s">
        <v>48</v>
      </c>
      <c r="B59" s="1305" t="s">
        <v>51</v>
      </c>
      <c r="C59" s="1306">
        <v>143</v>
      </c>
      <c r="D59" s="1306">
        <v>7788718.9339971105</v>
      </c>
      <c r="E59" s="1306">
        <v>234</v>
      </c>
      <c r="F59" s="1306">
        <v>9822763</v>
      </c>
    </row>
    <row r="60" spans="1:6">
      <c r="A60" s="1305" t="s">
        <v>48</v>
      </c>
      <c r="B60" s="1305" t="s">
        <v>52</v>
      </c>
      <c r="C60" s="1306">
        <v>70</v>
      </c>
      <c r="D60" s="1306">
        <v>2872837.71854081</v>
      </c>
      <c r="E60" s="1306">
        <v>91</v>
      </c>
      <c r="F60" s="1306">
        <v>2269976</v>
      </c>
    </row>
    <row r="61" spans="1:6">
      <c r="A61" s="1305" t="s">
        <v>48</v>
      </c>
      <c r="B61" s="1305" t="s">
        <v>53</v>
      </c>
      <c r="C61" s="1306">
        <v>142</v>
      </c>
      <c r="D61" s="1306">
        <v>8090265.2390348902</v>
      </c>
      <c r="E61" s="1306">
        <v>370</v>
      </c>
      <c r="F61" s="1306">
        <v>4460613</v>
      </c>
    </row>
    <row r="62" spans="1:6">
      <c r="A62" s="1305" t="s">
        <v>48</v>
      </c>
      <c r="B62" s="1305" t="s">
        <v>54</v>
      </c>
      <c r="C62" s="1306">
        <v>15</v>
      </c>
      <c r="D62" s="1306">
        <v>1863815.46621244</v>
      </c>
      <c r="E62" s="1306">
        <v>14</v>
      </c>
      <c r="F62" s="1306">
        <v>701544.8</v>
      </c>
    </row>
    <row r="63" spans="1:6">
      <c r="A63" s="1305" t="s">
        <v>48</v>
      </c>
      <c r="B63" s="1305" t="s">
        <v>28</v>
      </c>
      <c r="C63" s="1306">
        <v>87</v>
      </c>
      <c r="D63" s="1306">
        <v>9022161.5269525796</v>
      </c>
      <c r="E63" s="1306">
        <v>85</v>
      </c>
      <c r="F63" s="1306">
        <v>6156591</v>
      </c>
    </row>
    <row r="64" spans="1:6">
      <c r="A64" s="1305" t="s">
        <v>55</v>
      </c>
      <c r="B64" s="1305" t="s">
        <v>56</v>
      </c>
      <c r="C64" s="1306">
        <v>0</v>
      </c>
      <c r="D64" s="1306">
        <v>0</v>
      </c>
      <c r="E64" s="1306">
        <v>0</v>
      </c>
      <c r="F64" s="1306">
        <v>0</v>
      </c>
    </row>
    <row r="65" spans="1:6">
      <c r="A65" s="1305" t="s">
        <v>55</v>
      </c>
      <c r="B65" s="1305" t="s">
        <v>28</v>
      </c>
      <c r="C65" s="1306">
        <v>4</v>
      </c>
      <c r="D65" s="1306">
        <v>499780.00463903398</v>
      </c>
      <c r="E65" s="1306">
        <v>5</v>
      </c>
      <c r="F65" s="1306">
        <v>243485.2</v>
      </c>
    </row>
    <row r="66" spans="1:6">
      <c r="A66" s="1305" t="s">
        <v>55</v>
      </c>
      <c r="B66" s="1305" t="s">
        <v>57</v>
      </c>
      <c r="C66" s="1306">
        <v>0</v>
      </c>
      <c r="D66" s="1306">
        <v>0</v>
      </c>
      <c r="E66" s="1306">
        <v>19</v>
      </c>
      <c r="F66" s="1306">
        <v>580443.80000000005</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86242.91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73862415</v>
      </c>
      <c r="E73" s="450"/>
      <c r="F73" s="330"/>
    </row>
    <row r="74" spans="1:6">
      <c r="A74" s="1305" t="s">
        <v>63</v>
      </c>
      <c r="B74" s="1305" t="s">
        <v>710</v>
      </c>
      <c r="C74" s="1319" t="s">
        <v>712</v>
      </c>
      <c r="D74" s="1320">
        <v>7193970.8519289903</v>
      </c>
      <c r="E74" s="450"/>
      <c r="F74" s="330"/>
    </row>
    <row r="75" spans="1:6">
      <c r="A75" s="1305" t="s">
        <v>64</v>
      </c>
      <c r="B75" s="1305" t="s">
        <v>709</v>
      </c>
      <c r="C75" s="1319" t="s">
        <v>713</v>
      </c>
      <c r="D75" s="1320">
        <v>17925166</v>
      </c>
      <c r="E75" s="450"/>
      <c r="F75" s="330"/>
    </row>
    <row r="76" spans="1:6">
      <c r="A76" s="1305" t="s">
        <v>64</v>
      </c>
      <c r="B76" s="1305" t="s">
        <v>710</v>
      </c>
      <c r="C76" s="1319" t="s">
        <v>714</v>
      </c>
      <c r="D76" s="1320">
        <v>2165449.8519289899</v>
      </c>
      <c r="E76" s="450"/>
      <c r="F76" s="330"/>
    </row>
    <row r="77" spans="1:6">
      <c r="A77" s="1305" t="s">
        <v>65</v>
      </c>
      <c r="B77" s="1305" t="s">
        <v>709</v>
      </c>
      <c r="C77" s="1319" t="s">
        <v>715</v>
      </c>
      <c r="D77" s="1320">
        <v>64689814</v>
      </c>
      <c r="E77" s="450"/>
      <c r="F77" s="330"/>
    </row>
    <row r="78" spans="1:6">
      <c r="A78" s="1300" t="s">
        <v>65</v>
      </c>
      <c r="B78" s="1300" t="s">
        <v>710</v>
      </c>
      <c r="C78" s="1300" t="s">
        <v>716</v>
      </c>
      <c r="D78" s="1321">
        <v>25481744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317102.29614202015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2671.1809423334425</v>
      </c>
      <c r="C91" s="330"/>
      <c r="D91" s="330"/>
      <c r="E91" s="330"/>
      <c r="F91" s="330"/>
    </row>
    <row r="92" spans="1:6">
      <c r="A92" s="1300" t="s">
        <v>68</v>
      </c>
      <c r="B92" s="1301">
        <v>8206.4840027931004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2583</v>
      </c>
      <c r="C97" s="330"/>
      <c r="D97" s="330"/>
      <c r="E97" s="330"/>
      <c r="F97" s="330"/>
    </row>
    <row r="98" spans="1:6">
      <c r="A98" s="1305" t="s">
        <v>71</v>
      </c>
      <c r="B98" s="1306">
        <v>0</v>
      </c>
      <c r="C98" s="330"/>
      <c r="D98" s="330"/>
      <c r="E98" s="330"/>
      <c r="F98" s="330"/>
    </row>
    <row r="99" spans="1:6">
      <c r="A99" s="1305" t="s">
        <v>72</v>
      </c>
      <c r="B99" s="1306">
        <v>141</v>
      </c>
      <c r="C99" s="330"/>
      <c r="D99" s="330"/>
      <c r="E99" s="330"/>
      <c r="F99" s="330"/>
    </row>
    <row r="100" spans="1:6">
      <c r="A100" s="1305" t="s">
        <v>73</v>
      </c>
      <c r="B100" s="1306">
        <v>366</v>
      </c>
      <c r="C100" s="330"/>
      <c r="D100" s="330"/>
      <c r="E100" s="330"/>
      <c r="F100" s="330"/>
    </row>
    <row r="101" spans="1:6">
      <c r="A101" s="1305" t="s">
        <v>74</v>
      </c>
      <c r="B101" s="1306">
        <v>85</v>
      </c>
      <c r="C101" s="330"/>
      <c r="D101" s="330"/>
      <c r="E101" s="330"/>
      <c r="F101" s="330"/>
    </row>
    <row r="102" spans="1:6">
      <c r="A102" s="1305" t="s">
        <v>75</v>
      </c>
      <c r="B102" s="1306">
        <v>65</v>
      </c>
      <c r="C102" s="330"/>
      <c r="D102" s="330"/>
      <c r="E102" s="330"/>
      <c r="F102" s="330"/>
    </row>
    <row r="103" spans="1:6">
      <c r="A103" s="1305" t="s">
        <v>76</v>
      </c>
      <c r="B103" s="1306">
        <v>106</v>
      </c>
      <c r="C103" s="330"/>
      <c r="D103" s="330"/>
      <c r="E103" s="330"/>
      <c r="F103" s="330"/>
    </row>
    <row r="104" spans="1:6">
      <c r="A104" s="1305" t="s">
        <v>77</v>
      </c>
      <c r="B104" s="1306">
        <v>1077</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7</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183</v>
      </c>
      <c r="C129" s="330"/>
      <c r="D129" s="330"/>
      <c r="E129" s="330"/>
      <c r="F129" s="330"/>
    </row>
    <row r="130" spans="1:6">
      <c r="A130" s="1305" t="s">
        <v>294</v>
      </c>
      <c r="B130" s="1306">
        <v>6</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108376.48221385226</v>
      </c>
      <c r="C3" s="43" t="s">
        <v>169</v>
      </c>
      <c r="D3" s="43"/>
      <c r="E3" s="154"/>
      <c r="F3" s="43"/>
      <c r="G3" s="43"/>
      <c r="H3" s="43"/>
      <c r="I3" s="43"/>
      <c r="J3" s="43"/>
      <c r="K3" s="96"/>
    </row>
    <row r="4" spans="1:11">
      <c r="A4" s="359" t="s">
        <v>170</v>
      </c>
      <c r="B4" s="49">
        <f>IF(ISERROR('SEAP template'!B78+'SEAP template'!C78),0,'SEAP template'!B78+'SEAP template'!C78)</f>
        <v>12230.814945126544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311.19882352941175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0.19893053224754101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444.56974789915967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1933.0714285714287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0.22998102466793169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922.19799999999998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922.19799999999998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0.19893053224754101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183.45333897761782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17619.734</v>
      </c>
      <c r="C5" s="17">
        <f>IF(ISERROR('Eigen informatie GS &amp; warmtenet'!B57),0,'Eigen informatie GS &amp; warmtenet'!B57)</f>
        <v>0</v>
      </c>
      <c r="D5" s="30">
        <f>(SUM(HH_hh_gas_kWh,HH_rest_gas_kWh)/1000)*0.902</f>
        <v>43870.501135482795</v>
      </c>
      <c r="E5" s="17">
        <f>B46*B57</f>
        <v>20667.072815266674</v>
      </c>
      <c r="F5" s="17">
        <f>B51*B62</f>
        <v>3942.4889635915792</v>
      </c>
      <c r="G5" s="18"/>
      <c r="H5" s="17"/>
      <c r="I5" s="17"/>
      <c r="J5" s="17">
        <f>B50*B61+C50*C61</f>
        <v>160.85851202291138</v>
      </c>
      <c r="K5" s="17"/>
      <c r="L5" s="17"/>
      <c r="M5" s="17"/>
      <c r="N5" s="17">
        <f>B48*B59+C48*C59</f>
        <v>8984.3828169849912</v>
      </c>
      <c r="O5" s="17">
        <f>B69*B70*B71</f>
        <v>300.16000000000003</v>
      </c>
      <c r="P5" s="17">
        <f>B77*B78*B79/1000-B77*B78*B79/1000/B80</f>
        <v>362.26666666666665</v>
      </c>
    </row>
    <row r="6" spans="1:16">
      <c r="A6" s="16" t="s">
        <v>630</v>
      </c>
      <c r="B6" s="763">
        <f>kWh_PV_kleiner_dan_10kW</f>
        <v>2671.1809423334425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20290.914942333442</v>
      </c>
      <c r="C8" s="21">
        <f>C5</f>
        <v>0</v>
      </c>
      <c r="D8" s="21">
        <f>D5</f>
        <v>43870.501135482795</v>
      </c>
      <c r="E8" s="21">
        <f>E5</f>
        <v>20667.072815266674</v>
      </c>
      <c r="F8" s="21">
        <f>F5</f>
        <v>3942.4889635915792</v>
      </c>
      <c r="G8" s="21"/>
      <c r="H8" s="21"/>
      <c r="I8" s="21"/>
      <c r="J8" s="21">
        <f>J5</f>
        <v>160.85851202291138</v>
      </c>
      <c r="K8" s="21"/>
      <c r="L8" s="21">
        <f>L5</f>
        <v>0</v>
      </c>
      <c r="M8" s="21">
        <f>M5</f>
        <v>0</v>
      </c>
      <c r="N8" s="21">
        <f>N5</f>
        <v>8984.3828169849912</v>
      </c>
      <c r="O8" s="21">
        <f>O5</f>
        <v>300.16000000000003</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0.19893053224754101</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4036.4825092679744</v>
      </c>
      <c r="C12" s="23">
        <f ca="1">C10*C8</f>
        <v>0</v>
      </c>
      <c r="D12" s="23">
        <f>D8*D10</f>
        <v>8861.8412293675246</v>
      </c>
      <c r="E12" s="23">
        <f>E10*E8</f>
        <v>4691.4255290655356</v>
      </c>
      <c r="F12" s="23">
        <f>F10*F8</f>
        <v>1052.6445532789517</v>
      </c>
      <c r="G12" s="23"/>
      <c r="H12" s="23"/>
      <c r="I12" s="23"/>
      <c r="J12" s="23">
        <f>J10*J8</f>
        <v>56.943913256110626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2583</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23.817567567567568</v>
      </c>
      <c r="D20" s="229"/>
      <c r="E20" s="15"/>
    </row>
    <row r="21" spans="1:7">
      <c r="A21" s="171" t="s">
        <v>73</v>
      </c>
      <c r="B21" s="37">
        <f>aantalw2001_elektriciteit</f>
        <v>366</v>
      </c>
      <c r="C21" s="167">
        <f>IF(ISERROR(B21/SUM($B$20,$B$21,$B$22)*100),0,B21/SUM($B$20,$B$21,$B$22)*100)</f>
        <v>61.824324324324323</v>
      </c>
      <c r="D21" s="229"/>
      <c r="E21" s="15"/>
    </row>
    <row r="22" spans="1:7">
      <c r="A22" s="171" t="s">
        <v>74</v>
      </c>
      <c r="B22" s="37">
        <f>aantalw2001_hout</f>
        <v>85</v>
      </c>
      <c r="C22" s="167">
        <f>IF(ISERROR(B22/SUM($B$20,$B$21,$B$22)*100),0,B22/SUM($B$20,$B$21,$B$22)*100)</f>
        <v>14.358108108108109</v>
      </c>
      <c r="D22" s="229"/>
      <c r="E22" s="15"/>
    </row>
    <row r="23" spans="1:7">
      <c r="A23" s="171" t="s">
        <v>75</v>
      </c>
      <c r="B23" s="37">
        <f>aantalw2001_niet_gespec</f>
        <v>65</v>
      </c>
      <c r="C23" s="166" t="s">
        <v>110</v>
      </c>
      <c r="D23" s="228"/>
      <c r="E23" s="15"/>
    </row>
    <row r="24" spans="1:7">
      <c r="A24" s="171" t="s">
        <v>76</v>
      </c>
      <c r="B24" s="37">
        <f>aantalw2001_steenkool</f>
        <v>106</v>
      </c>
      <c r="C24" s="166" t="s">
        <v>110</v>
      </c>
      <c r="D24" s="229"/>
      <c r="E24" s="15"/>
    </row>
    <row r="25" spans="1:7">
      <c r="A25" s="171" t="s">
        <v>77</v>
      </c>
      <c r="B25" s="37">
        <f>aantalw2001_stookolie</f>
        <v>1077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4872</v>
      </c>
      <c r="C28" s="36"/>
      <c r="D28" s="228"/>
    </row>
    <row r="29" spans="1:7" s="15" customFormat="1">
      <c r="A29" s="230" t="s">
        <v>737</v>
      </c>
      <c r="B29" s="37">
        <f>SUM(HH_hh_gas_aantal,HH_rest_gas_aantal)</f>
        <v>3584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3584</v>
      </c>
      <c r="C32" s="167">
        <f>IF(ISERROR(B32/SUM($B$32,$B$34,$B$35,$B$36,$B$38,$B$39)*100),0,B32/SUM($B$32,$B$34,$B$35,$B$36,$B$38,$B$39)*100)</f>
        <v>73.851226045744895</v>
      </c>
      <c r="D32" s="233"/>
      <c r="G32" s="15"/>
    </row>
    <row r="33" spans="1:7">
      <c r="A33" s="171" t="s">
        <v>71</v>
      </c>
      <c r="B33" s="34" t="s">
        <v>110</v>
      </c>
      <c r="C33" s="167"/>
      <c r="D33" s="233"/>
      <c r="G33" s="15"/>
    </row>
    <row r="34" spans="1:7">
      <c r="A34" s="171" t="s">
        <v>72</v>
      </c>
      <c r="B34" s="33">
        <f>IF((($B$28-$B$32-$B$39-$B$77-$B$38)*C20/100)&lt;0,0,($B$28-$B$32-$B$39-$B$77-$B$38)*C20/100)</f>
        <v>258.89695945945948</v>
      </c>
      <c r="C34" s="167">
        <f>IF(ISERROR(B34/SUM($B$32,$B$34,$B$35,$B$36,$B$38,$B$39)*100),0,B34/SUM($B$32,$B$34,$B$35,$B$36,$B$38,$B$39)*100)</f>
        <v>5.3347817733249432</v>
      </c>
      <c r="D34" s="233"/>
      <c r="G34" s="15"/>
    </row>
    <row r="35" spans="1:7">
      <c r="A35" s="171" t="s">
        <v>73</v>
      </c>
      <c r="B35" s="33">
        <f>IF((($B$28-$B$32-$B$39-$B$77-$B$38)*C21/100)&lt;0,0,($B$28-$B$32-$B$39-$B$77-$B$38)*C21/100)</f>
        <v>672.0304054054053</v>
      </c>
      <c r="C35" s="167">
        <f>IF(ISERROR(B35/SUM($B$32,$B$34,$B$35,$B$36,$B$38,$B$39)*100),0,B35/SUM($B$32,$B$34,$B$35,$B$36,$B$38,$B$39)*100)</f>
        <v>13.847731411609423</v>
      </c>
      <c r="D35" s="233"/>
      <c r="G35" s="15"/>
    </row>
    <row r="36" spans="1:7">
      <c r="A36" s="171" t="s">
        <v>74</v>
      </c>
      <c r="B36" s="33">
        <f>IF((($B$28-$B$32-$B$39-$B$77-$B$38)*C22/100)&lt;0,0,($B$28-$B$32-$B$39-$B$77-$B$38)*C22/100)</f>
        <v>156.07263513513516</v>
      </c>
      <c r="C36" s="167">
        <f>IF(ISERROR(B36/SUM($B$32,$B$34,$B$35,$B$36,$B$38,$B$39)*100),0,B36/SUM($B$32,$B$34,$B$35,$B$36,$B$38,$B$39)*100)</f>
        <v>3.2160031966852491</v>
      </c>
      <c r="D36" s="233"/>
      <c r="G36" s="15"/>
    </row>
    <row r="37" spans="1:7">
      <c r="A37" s="171" t="s">
        <v>75</v>
      </c>
      <c r="B37" s="34" t="s">
        <v>110</v>
      </c>
      <c r="C37" s="167"/>
      <c r="D37" s="173"/>
      <c r="G37" s="15"/>
    </row>
    <row r="38" spans="1:7">
      <c r="A38" s="171" t="s">
        <v>76</v>
      </c>
      <c r="B38" s="33">
        <f>IF((B24-(B29-B18)*0.1)&lt;0,0,B24-(B29-B18)*0.1)</f>
        <v>5.8999999999999915</v>
      </c>
      <c r="C38" s="167">
        <f>IF(ISERROR(B38/SUM($B$32,$B$34,$B$35,$B$36,$B$38,$B$39)*100),0,B38/SUM($B$32,$B$34,$B$35,$B$36,$B$38,$B$39)*100)</f>
        <v>0.12157428394807318</v>
      </c>
      <c r="D38" s="234"/>
      <c r="G38" s="15"/>
    </row>
    <row r="39" spans="1:7">
      <c r="A39" s="171" t="s">
        <v>77</v>
      </c>
      <c r="B39" s="33">
        <f>IF((B25-(B29-B18))&lt;0,0,B25-(B29-B18)*0.9)</f>
        <v>176.10000000000002</v>
      </c>
      <c r="C39" s="167">
        <f>IF(ISERROR(B39/SUM($B$32,$B$34,$B$35,$B$36,$B$38,$B$39)*100),0,B39/SUM($B$32,$B$34,$B$35,$B$36,$B$38,$B$39)*100)</f>
        <v>3.6286832886874101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3584</v>
      </c>
      <c r="C44" s="34" t="s">
        <v>110</v>
      </c>
      <c r="D44" s="174"/>
    </row>
    <row r="45" spans="1:7">
      <c r="A45" s="171" t="s">
        <v>71</v>
      </c>
      <c r="B45" s="33" t="str">
        <f t="shared" si="0"/>
        <v>-</v>
      </c>
      <c r="C45" s="34" t="s">
        <v>110</v>
      </c>
      <c r="D45" s="174"/>
    </row>
    <row r="46" spans="1:7">
      <c r="A46" s="171" t="s">
        <v>72</v>
      </c>
      <c r="B46" s="33">
        <f t="shared" si="0"/>
        <v>258.89695945945948</v>
      </c>
      <c r="C46" s="34" t="s">
        <v>110</v>
      </c>
      <c r="D46" s="174"/>
    </row>
    <row r="47" spans="1:7">
      <c r="A47" s="171" t="s">
        <v>73</v>
      </c>
      <c r="B47" s="33">
        <f t="shared" si="0"/>
        <v>672.0304054054053</v>
      </c>
      <c r="C47" s="34" t="s">
        <v>110</v>
      </c>
      <c r="D47" s="174"/>
    </row>
    <row r="48" spans="1:7">
      <c r="A48" s="171" t="s">
        <v>74</v>
      </c>
      <c r="B48" s="33">
        <f t="shared" si="0"/>
        <v>156.07263513513516</v>
      </c>
      <c r="C48" s="33">
        <f>B48*10</f>
        <v>1560.7263513513517</v>
      </c>
      <c r="D48" s="234"/>
    </row>
    <row r="49" spans="1:6">
      <c r="A49" s="171" t="s">
        <v>75</v>
      </c>
      <c r="B49" s="33" t="str">
        <f t="shared" si="0"/>
        <v>-</v>
      </c>
      <c r="C49" s="34" t="s">
        <v>110</v>
      </c>
      <c r="D49" s="234"/>
    </row>
    <row r="50" spans="1:6">
      <c r="A50" s="171" t="s">
        <v>76</v>
      </c>
      <c r="B50" s="33">
        <f t="shared" si="0"/>
        <v>5.8999999999999915</v>
      </c>
      <c r="C50" s="33">
        <f>B50*2</f>
        <v>11.799999999999983</v>
      </c>
      <c r="D50" s="234"/>
    </row>
    <row r="51" spans="1:6">
      <c r="A51" s="171" t="s">
        <v>77</v>
      </c>
      <c r="B51" s="33">
        <f t="shared" si="0"/>
        <v>176.10000000000002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25492.129599999997</v>
      </c>
      <c r="C5" s="17">
        <f>IF(ISERROR('Eigen informatie GS &amp; warmtenet'!B58),0,'Eigen informatie GS &amp; warmtenet'!B58)</f>
        <v>0</v>
      </c>
      <c r="D5" s="30">
        <f>SUM(D6:D12)</f>
        <v>28886.680655210137</v>
      </c>
      <c r="E5" s="17">
        <f>SUM(E6:E12)</f>
        <v>274.54752715747071</v>
      </c>
      <c r="F5" s="17">
        <f>SUM(F6:F12)</f>
        <v>3725.5189843290482</v>
      </c>
      <c r="G5" s="18"/>
      <c r="H5" s="17"/>
      <c r="I5" s="17"/>
      <c r="J5" s="17">
        <f>SUM(J6:J12)</f>
        <v>0</v>
      </c>
      <c r="K5" s="17"/>
      <c r="L5" s="17"/>
      <c r="M5" s="17"/>
      <c r="N5" s="17">
        <f>SUM(N6:N12)</f>
        <v>1469.0645594508173</v>
      </c>
      <c r="O5" s="17">
        <f>B38*B39*B40</f>
        <v>9.3800000000000008</v>
      </c>
      <c r="P5" s="17">
        <f>B46*B47*B48/1000-B46*B47*B48/1000/B49</f>
        <v>38.133333333333333</v>
      </c>
      <c r="R5" s="32"/>
    </row>
    <row r="6" spans="1:18">
      <c r="A6" s="32" t="s">
        <v>53</v>
      </c>
      <c r="B6" s="37">
        <f>B26</f>
        <v>4460.6130000000003</v>
      </c>
      <c r="C6" s="33"/>
      <c r="D6" s="37">
        <f>IF(ISERROR(TER_kantoor_gas_kWh/1000),0,TER_kantoor_gas_kWh/1000)*0.902</f>
        <v>7297.4192456094715</v>
      </c>
      <c r="E6" s="33">
        <f>$C$26*'E Balans VL '!I12/100/3.6*1000000</f>
        <v>12.923050325725354</v>
      </c>
      <c r="F6" s="33">
        <f>$C$26*('E Balans VL '!L12+'E Balans VL '!N12)/100/3.6*1000000</f>
        <v>504.84311667612485</v>
      </c>
      <c r="G6" s="34"/>
      <c r="H6" s="33"/>
      <c r="I6" s="33"/>
      <c r="J6" s="33">
        <f>$C$26*('E Balans VL '!D12+'E Balans VL '!E12)/100/3.6*1000000</f>
        <v>0</v>
      </c>
      <c r="K6" s="33"/>
      <c r="L6" s="33"/>
      <c r="M6" s="33"/>
      <c r="N6" s="33">
        <f>$C$26*'E Balans VL '!Y12/100/3.6*1000000</f>
        <v>44.647449403593328</v>
      </c>
      <c r="O6" s="33"/>
      <c r="P6" s="33"/>
      <c r="R6" s="32"/>
    </row>
    <row r="7" spans="1:18">
      <c r="A7" s="32" t="s">
        <v>52</v>
      </c>
      <c r="B7" s="37">
        <f t="shared" ref="B7:B12" si="0">B27</f>
        <v>2269.9760000000001</v>
      </c>
      <c r="C7" s="33"/>
      <c r="D7" s="37">
        <f>IF(ISERROR(TER_horeca_gas_kWh/1000),0,TER_horeca_gas_kWh/1000)*0.902</f>
        <v>2591.2996221238104</v>
      </c>
      <c r="E7" s="33">
        <f>$C$27*'E Balans VL '!I9/100/3.6*1000000</f>
        <v>95.287250292401922</v>
      </c>
      <c r="F7" s="33">
        <f>$C$27*('E Balans VL '!L9+'E Balans VL '!N9)/100/3.6*1000000</f>
        <v>487.75089384211901</v>
      </c>
      <c r="G7" s="34"/>
      <c r="H7" s="33"/>
      <c r="I7" s="33"/>
      <c r="J7" s="33">
        <f>$C$27*('E Balans VL '!D9+'E Balans VL '!E9)/100/3.6*1000000</f>
        <v>0</v>
      </c>
      <c r="K7" s="33"/>
      <c r="L7" s="33"/>
      <c r="M7" s="33"/>
      <c r="N7" s="33">
        <f>$C$27*'E Balans VL '!Y9/100/3.6*1000000</f>
        <v>0.58495296353971515</v>
      </c>
      <c r="O7" s="33"/>
      <c r="P7" s="33"/>
      <c r="R7" s="32"/>
    </row>
    <row r="8" spans="1:18">
      <c r="A8" s="6" t="s">
        <v>51</v>
      </c>
      <c r="B8" s="37">
        <f t="shared" si="0"/>
        <v>9822.7630000000008</v>
      </c>
      <c r="C8" s="33"/>
      <c r="D8" s="37">
        <f>IF(ISERROR(TER_handel_gas_kWh/1000),0,TER_handel_gas_kWh/1000)*0.902</f>
        <v>7025.4244784653938</v>
      </c>
      <c r="E8" s="33">
        <f>$C$28*'E Balans VL '!I13/100/3.6*1000000</f>
        <v>105.50464987325032</v>
      </c>
      <c r="F8" s="33">
        <f>$C$28*('E Balans VL '!L13+'E Balans VL '!N13)/100/3.6*1000000</f>
        <v>1271.6377850546912</v>
      </c>
      <c r="G8" s="34"/>
      <c r="H8" s="33"/>
      <c r="I8" s="33"/>
      <c r="J8" s="33">
        <f>$C$28*('E Balans VL '!D13+'E Balans VL '!E13)/100/3.6*1000000</f>
        <v>0</v>
      </c>
      <c r="K8" s="33"/>
      <c r="L8" s="33"/>
      <c r="M8" s="33"/>
      <c r="N8" s="33">
        <f>$C$28*'E Balans VL '!Y13/100/3.6*1000000</f>
        <v>79.682789802179869</v>
      </c>
      <c r="O8" s="33"/>
      <c r="P8" s="33"/>
      <c r="R8" s="32"/>
    </row>
    <row r="9" spans="1:18">
      <c r="A9" s="32" t="s">
        <v>50</v>
      </c>
      <c r="B9" s="37">
        <f t="shared" si="0"/>
        <v>929.50380000000007</v>
      </c>
      <c r="C9" s="33"/>
      <c r="D9" s="37">
        <f>IF(ISERROR(TER_gezond_gas_kWh/1000),0,TER_gezond_gas_kWh/1000)*0.902</f>
        <v>771.38025404266625</v>
      </c>
      <c r="E9" s="33">
        <f>$C$29*'E Balans VL '!I10/100/3.6*1000000</f>
        <v>0.73994514349515661</v>
      </c>
      <c r="F9" s="33">
        <f>$C$29*('E Balans VL '!L10+'E Balans VL '!N10)/100/3.6*1000000</f>
        <v>112.99461942978432</v>
      </c>
      <c r="G9" s="34"/>
      <c r="H9" s="33"/>
      <c r="I9" s="33"/>
      <c r="J9" s="33">
        <f>$C$29*('E Balans VL '!D10+'E Balans VL '!E10)/100/3.6*1000000</f>
        <v>0</v>
      </c>
      <c r="K9" s="33"/>
      <c r="L9" s="33"/>
      <c r="M9" s="33"/>
      <c r="N9" s="33">
        <f>$C$29*'E Balans VL '!Y10/100/3.6*1000000</f>
        <v>7.5082854405481125</v>
      </c>
      <c r="O9" s="33"/>
      <c r="P9" s="33"/>
      <c r="R9" s="32"/>
    </row>
    <row r="10" spans="1:18">
      <c r="A10" s="32" t="s">
        <v>49</v>
      </c>
      <c r="B10" s="37">
        <f t="shared" si="0"/>
        <v>1151.1379999999999</v>
      </c>
      <c r="C10" s="33"/>
      <c r="D10" s="37">
        <f>IF(ISERROR(TER_ander_gas_kWh/1000),0,TER_ander_gas_kWh/1000)*0.902</f>
        <v>1382.0058071339488</v>
      </c>
      <c r="E10" s="33">
        <f>$C$30*'E Balans VL '!I14/100/3.6*1000000</f>
        <v>3.9450103990387251</v>
      </c>
      <c r="F10" s="33">
        <f>$C$30*('E Balans VL '!L14+'E Balans VL '!N14)/100/3.6*1000000</f>
        <v>257.11745246181613</v>
      </c>
      <c r="G10" s="34"/>
      <c r="H10" s="33"/>
      <c r="I10" s="33"/>
      <c r="J10" s="33">
        <f>$C$30*('E Balans VL '!D14+'E Balans VL '!E14)/100/3.6*1000000</f>
        <v>0</v>
      </c>
      <c r="K10" s="33"/>
      <c r="L10" s="33"/>
      <c r="M10" s="33"/>
      <c r="N10" s="33">
        <f>$C$30*'E Balans VL '!Y14/100/3.6*1000000</f>
        <v>810.86789574396994</v>
      </c>
      <c r="O10" s="33"/>
      <c r="P10" s="33"/>
      <c r="R10" s="32"/>
    </row>
    <row r="11" spans="1:18">
      <c r="A11" s="32" t="s">
        <v>54</v>
      </c>
      <c r="B11" s="37">
        <f t="shared" si="0"/>
        <v>701.54480000000001</v>
      </c>
      <c r="C11" s="33"/>
      <c r="D11" s="37">
        <f>IF(ISERROR(TER_onderwijs_gas_kWh/1000),0,TER_onderwijs_gas_kWh/1000)*0.902</f>
        <v>1681.1615505236209</v>
      </c>
      <c r="E11" s="33">
        <f>$C$31*'E Balans VL '!I11/100/3.6*1000000</f>
        <v>0.48495631436056946</v>
      </c>
      <c r="F11" s="33">
        <f>$C$31*('E Balans VL '!L11+'E Balans VL '!N11)/100/3.6*1000000</f>
        <v>183.644050146274</v>
      </c>
      <c r="G11" s="34"/>
      <c r="H11" s="33"/>
      <c r="I11" s="33"/>
      <c r="J11" s="33">
        <f>$C$31*('E Balans VL '!D11+'E Balans VL '!E11)/100/3.6*1000000</f>
        <v>0</v>
      </c>
      <c r="K11" s="33"/>
      <c r="L11" s="33"/>
      <c r="M11" s="33"/>
      <c r="N11" s="33">
        <f>$C$31*'E Balans VL '!Y11/100/3.6*1000000</f>
        <v>0.69832809547515751</v>
      </c>
      <c r="O11" s="33"/>
      <c r="P11" s="33"/>
      <c r="R11" s="32"/>
    </row>
    <row r="12" spans="1:18">
      <c r="A12" s="32" t="s">
        <v>259</v>
      </c>
      <c r="B12" s="37">
        <f t="shared" si="0"/>
        <v>6156.5910000000003</v>
      </c>
      <c r="C12" s="33"/>
      <c r="D12" s="37">
        <f>IF(ISERROR(TER_rest_gas_kWh/1000),0,TER_rest_gas_kWh/1000)*0.902</f>
        <v>8137.9896973112263</v>
      </c>
      <c r="E12" s="33">
        <f>$C$32*'E Balans VL '!I8/100/3.6*1000000</f>
        <v>55.662664809198652</v>
      </c>
      <c r="F12" s="33">
        <f>$C$32*('E Balans VL '!L8+'E Balans VL '!N8)/100/3.6*1000000</f>
        <v>907.53106671823821</v>
      </c>
      <c r="G12" s="34"/>
      <c r="H12" s="33"/>
      <c r="I12" s="33"/>
      <c r="J12" s="33">
        <f>$C$32*('E Balans VL '!D8+'E Balans VL '!E8)/100/3.6*1000000</f>
        <v>0</v>
      </c>
      <c r="K12" s="33"/>
      <c r="L12" s="33"/>
      <c r="M12" s="33"/>
      <c r="N12" s="33">
        <f>$C$32*'E Balans VL '!Y8/100/3.6*1000000</f>
        <v>525.0748580015113</v>
      </c>
      <c r="O12" s="33"/>
      <c r="P12" s="33"/>
      <c r="R12" s="32"/>
    </row>
    <row r="13" spans="1:18">
      <c r="A13" s="16" t="s">
        <v>493</v>
      </c>
      <c r="B13" s="247">
        <f ca="1">'lokale energieproductie'!N39+'lokale energieproductie'!N32</f>
        <v>1309.5</v>
      </c>
      <c r="C13" s="247">
        <f ca="1">'lokale energieproductie'!O39+'lokale energieproductie'!O32</f>
        <v>1870.7142857142858</v>
      </c>
      <c r="D13" s="308">
        <f ca="1">('lokale energieproductie'!P32+'lokale energieproductie'!P39)*(-1)</f>
        <v>-3741.4285714285716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26801.629599999997</v>
      </c>
      <c r="C16" s="21">
        <f t="shared" ca="1" si="1"/>
        <v>1870.7142857142858</v>
      </c>
      <c r="D16" s="21">
        <f t="shared" ca="1" si="1"/>
        <v>25145.252083781565</v>
      </c>
      <c r="E16" s="21">
        <f t="shared" si="1"/>
        <v>274.54752715747071</v>
      </c>
      <c r="F16" s="21">
        <f t="shared" ca="1" si="1"/>
        <v>3725.5189843290482</v>
      </c>
      <c r="G16" s="21">
        <f t="shared" si="1"/>
        <v>0</v>
      </c>
      <c r="H16" s="21">
        <f t="shared" si="1"/>
        <v>0</v>
      </c>
      <c r="I16" s="21">
        <f t="shared" si="1"/>
        <v>0</v>
      </c>
      <c r="J16" s="21">
        <f t="shared" si="1"/>
        <v>0</v>
      </c>
      <c r="K16" s="21">
        <f t="shared" si="1"/>
        <v>0</v>
      </c>
      <c r="L16" s="21">
        <f t="shared" ca="1" si="1"/>
        <v>0</v>
      </c>
      <c r="M16" s="21">
        <f t="shared" si="1"/>
        <v>0</v>
      </c>
      <c r="N16" s="21">
        <f t="shared" ca="1" si="1"/>
        <v>1469.0645594508173</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0.19893053224754101</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5331.6624414294492</v>
      </c>
      <c r="C20" s="23">
        <f t="shared" ref="C20:P20" ca="1" si="2">C16*C18</f>
        <v>430.22878828950934</v>
      </c>
      <c r="D20" s="23">
        <f t="shared" ca="1" si="2"/>
        <v>5079.3409209238762</v>
      </c>
      <c r="E20" s="23">
        <f t="shared" si="2"/>
        <v>62.322288664745855</v>
      </c>
      <c r="F20" s="23">
        <f t="shared" ca="1" si="2"/>
        <v>994.71356881585587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4460.6130000000003</v>
      </c>
      <c r="C26" s="39">
        <f>IF(ISERROR(B26*3.6/1000000/'E Balans VL '!Z12*100),0,B26*3.6/1000000/'E Balans VL '!Z12*100)</f>
        <v>9.7982521530034283E-2</v>
      </c>
      <c r="D26" s="237" t="s">
        <v>691</v>
      </c>
      <c r="F26" s="6"/>
    </row>
    <row r="27" spans="1:18">
      <c r="A27" s="231" t="s">
        <v>52</v>
      </c>
      <c r="B27" s="33">
        <f>IF(ISERROR(TER_horeca_ele_kWh/1000),0,TER_horeca_ele_kWh/1000)</f>
        <v>2269.9760000000001</v>
      </c>
      <c r="C27" s="39">
        <f>IF(ISERROR(B27*3.6/1000000/'E Balans VL '!Z9*100),0,B27*3.6/1000000/'E Balans VL '!Z9*100)</f>
        <v>0.18241519898802189</v>
      </c>
      <c r="D27" s="237" t="s">
        <v>691</v>
      </c>
      <c r="F27" s="6"/>
    </row>
    <row r="28" spans="1:18">
      <c r="A28" s="171" t="s">
        <v>51</v>
      </c>
      <c r="B28" s="33">
        <f>IF(ISERROR(TER_handel_ele_kWh/1000),0,TER_handel_ele_kWh/1000)</f>
        <v>9822.7630000000008</v>
      </c>
      <c r="C28" s="39">
        <f>IF(ISERROR(B28*3.6/1000000/'E Balans VL '!Z13*100),0,B28*3.6/1000000/'E Balans VL '!Z13*100)</f>
        <v>0.29045223958368288</v>
      </c>
      <c r="D28" s="237" t="s">
        <v>691</v>
      </c>
      <c r="F28" s="6"/>
    </row>
    <row r="29" spans="1:18">
      <c r="A29" s="231" t="s">
        <v>50</v>
      </c>
      <c r="B29" s="33">
        <f>IF(ISERROR(TER_gezond_ele_kWh/1000),0,TER_gezond_ele_kWh/1000)</f>
        <v>929.50380000000007</v>
      </c>
      <c r="C29" s="39">
        <f>IF(ISERROR(B29*3.6/1000000/'E Balans VL '!Z10*100),0,B29*3.6/1000000/'E Balans VL '!Z10*100)</f>
        <v>0.10473108058728421</v>
      </c>
      <c r="D29" s="237" t="s">
        <v>691</v>
      </c>
      <c r="F29" s="6"/>
    </row>
    <row r="30" spans="1:18">
      <c r="A30" s="231" t="s">
        <v>49</v>
      </c>
      <c r="B30" s="33">
        <f>IF(ISERROR(TER_ander_ele_kWh/1000),0,TER_ander_ele_kWh/1000)</f>
        <v>1151.1379999999999</v>
      </c>
      <c r="C30" s="39">
        <f>IF(ISERROR(B30*3.6/1000000/'E Balans VL '!Z14*100),0,B30*3.6/1000000/'E Balans VL '!Z14*100)</f>
        <v>8.7058599158473818E-2</v>
      </c>
      <c r="D30" s="237" t="s">
        <v>691</v>
      </c>
      <c r="F30" s="6"/>
    </row>
    <row r="31" spans="1:18">
      <c r="A31" s="231" t="s">
        <v>54</v>
      </c>
      <c r="B31" s="33">
        <f>IF(ISERROR(TER_onderwijs_ele_kWh/1000),0,TER_onderwijs_ele_kWh/1000)</f>
        <v>701.54480000000001</v>
      </c>
      <c r="C31" s="39">
        <f>IF(ISERROR(B31*3.6/1000000/'E Balans VL '!Z11*100),0,B31*3.6/1000000/'E Balans VL '!Z11*100)</f>
        <v>0.14562441481661842</v>
      </c>
      <c r="D31" s="237" t="s">
        <v>691</v>
      </c>
    </row>
    <row r="32" spans="1:18">
      <c r="A32" s="231" t="s">
        <v>259</v>
      </c>
      <c r="B32" s="33">
        <f>IF(ISERROR(TER_rest_ele_kWh/1000),0,TER_rest_ele_kWh/1000)</f>
        <v>6156.5910000000003</v>
      </c>
      <c r="C32" s="39">
        <f>IF(ISERROR(B32*3.6/1000000/'E Balans VL '!Z8*100),0,B32*3.6/1000000/'E Balans VL '!Z8*100)</f>
        <v>5.1865657375165672E-2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53139.679830000001</v>
      </c>
      <c r="C5" s="17">
        <f>IF(ISERROR('Eigen informatie GS &amp; warmtenet'!B59),0,'Eigen informatie GS &amp; warmtenet'!B59)</f>
        <v>0</v>
      </c>
      <c r="D5" s="30">
        <f>SUM(D6:D15)</f>
        <v>153823.48579872318</v>
      </c>
      <c r="E5" s="17">
        <f>SUM(E6:E15)</f>
        <v>3559.9573785596394</v>
      </c>
      <c r="F5" s="17">
        <f>SUM(F6:F15)</f>
        <v>43639.544308827877</v>
      </c>
      <c r="G5" s="18"/>
      <c r="H5" s="17"/>
      <c r="I5" s="17"/>
      <c r="J5" s="17">
        <f>SUM(J6:J15)</f>
        <v>518.35604018591994</v>
      </c>
      <c r="K5" s="17"/>
      <c r="L5" s="17"/>
      <c r="M5" s="17"/>
      <c r="N5" s="17">
        <f>SUM(N6:N15)</f>
        <v>10900.616384749977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745.30919999999992</v>
      </c>
      <c r="C8" s="33"/>
      <c r="D8" s="37">
        <f>IF( ISERROR(IND_metaal_Gas_kWH/1000),0,IND_metaal_Gas_kWH/1000)*0.902</f>
        <v>136.42101309178111</v>
      </c>
      <c r="E8" s="33">
        <f>C30*'E Balans VL '!I18/100/3.6*1000000</f>
        <v>18.652480749684035</v>
      </c>
      <c r="F8" s="33">
        <f>C30*'E Balans VL '!L18/100/3.6*1000000+C30*'E Balans VL '!N18/100/3.6*1000000</f>
        <v>233.5836106386227</v>
      </c>
      <c r="G8" s="34"/>
      <c r="H8" s="33"/>
      <c r="I8" s="33"/>
      <c r="J8" s="40">
        <f>C30*'E Balans VL '!D18/100/3.6*1000000+C30*'E Balans VL '!E18/100/3.6*1000000</f>
        <v>0</v>
      </c>
      <c r="K8" s="33"/>
      <c r="L8" s="33"/>
      <c r="M8" s="33"/>
      <c r="N8" s="33">
        <f>C30*'E Balans VL '!Y18/100/3.6*1000000</f>
        <v>18.724101350041558</v>
      </c>
      <c r="O8" s="33"/>
      <c r="P8" s="33"/>
      <c r="R8" s="32"/>
    </row>
    <row r="9" spans="1:18">
      <c r="A9" s="6" t="s">
        <v>32</v>
      </c>
      <c r="B9" s="37">
        <f t="shared" si="0"/>
        <v>6938.5659999999998</v>
      </c>
      <c r="C9" s="33"/>
      <c r="D9" s="37">
        <f>IF( ISERROR(IND_andere_gas_kWh/1000),0,IND_andere_gas_kWh/1000)*0.902</f>
        <v>1725.6014545119747</v>
      </c>
      <c r="E9" s="33">
        <f>C31*'E Balans VL '!I19/100/3.6*1000000</f>
        <v>1907.8210643297659</v>
      </c>
      <c r="F9" s="33">
        <f>C31*'E Balans VL '!L19/100/3.6*1000000+C31*'E Balans VL '!N19/100/3.6*1000000</f>
        <v>5468.7974051726533</v>
      </c>
      <c r="G9" s="34"/>
      <c r="H9" s="33"/>
      <c r="I9" s="33"/>
      <c r="J9" s="40">
        <f>C31*'E Balans VL '!D19/100/3.6*1000000+C31*'E Balans VL '!E19/100/3.6*1000000</f>
        <v>0</v>
      </c>
      <c r="K9" s="33"/>
      <c r="L9" s="33"/>
      <c r="M9" s="33"/>
      <c r="N9" s="33">
        <f>C31*'E Balans VL '!Y19/100/3.6*1000000</f>
        <v>558.97524933534032</v>
      </c>
      <c r="O9" s="33"/>
      <c r="P9" s="33"/>
      <c r="R9" s="32"/>
    </row>
    <row r="10" spans="1:18">
      <c r="A10" s="6" t="s">
        <v>40</v>
      </c>
      <c r="B10" s="37">
        <f t="shared" si="0"/>
        <v>16609.775000000001</v>
      </c>
      <c r="C10" s="33"/>
      <c r="D10" s="37">
        <f>IF( ISERROR(IND_voed_gas_kWh/1000),0,IND_voed_gas_kWh/1000)*0.902</f>
        <v>5610.509015963743</v>
      </c>
      <c r="E10" s="33">
        <f>C32*'E Balans VL '!I20/100/3.6*1000000</f>
        <v>169.32750574774025</v>
      </c>
      <c r="F10" s="33">
        <f>C32*'E Balans VL '!L20/100/3.6*1000000+C32*'E Balans VL '!N20/100/3.6*1000000</f>
        <v>31375.761090885419</v>
      </c>
      <c r="G10" s="34"/>
      <c r="H10" s="33"/>
      <c r="I10" s="33"/>
      <c r="J10" s="40">
        <f>C32*'E Balans VL '!D20/100/3.6*1000000+C32*'E Balans VL '!E20/100/3.6*1000000</f>
        <v>397.52626317985249</v>
      </c>
      <c r="K10" s="33"/>
      <c r="L10" s="33"/>
      <c r="M10" s="33"/>
      <c r="N10" s="33">
        <f>C32*'E Balans VL '!Y20/100/3.6*1000000</f>
        <v>8755.264636475189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69.619630000000001</v>
      </c>
      <c r="C12" s="33"/>
      <c r="D12" s="37">
        <f>IF( ISERROR(IND_min_gas_kWh/1000),0,IND_min_gas_kWh/1000)*0.902</f>
        <v>0</v>
      </c>
      <c r="E12" s="33">
        <f>C34*'E Balans VL '!I22/100/3.6*1000000</f>
        <v>0.21084636662618414</v>
      </c>
      <c r="F12" s="33">
        <f>C34*'E Balans VL '!L22/100/3.6*1000000+C34*'E Balans VL '!N22/100/3.6*1000000</f>
        <v>2.1756732920095283</v>
      </c>
      <c r="G12" s="34"/>
      <c r="H12" s="33"/>
      <c r="I12" s="33"/>
      <c r="J12" s="40">
        <f>C34*'E Balans VL '!D22/100/3.6*1000000+C34*'E Balans VL '!E22/100/3.6*1000000</f>
        <v>0.10323045652850893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28776.41</v>
      </c>
      <c r="C15" s="33"/>
      <c r="D15" s="37">
        <f>IF( ISERROR(IND_rest_gas_kWh/1000),0,IND_rest_gas_kWh/1000)*0.902</f>
        <v>146350.95431515569</v>
      </c>
      <c r="E15" s="33">
        <f>C37*'E Balans VL '!I15/100/3.6*1000000</f>
        <v>1463.9454813658228</v>
      </c>
      <c r="F15" s="33">
        <f>C37*'E Balans VL '!L15/100/3.6*1000000+C37*'E Balans VL '!N15/100/3.6*1000000</f>
        <v>6559.2265288391691</v>
      </c>
      <c r="G15" s="34"/>
      <c r="H15" s="33"/>
      <c r="I15" s="33"/>
      <c r="J15" s="40">
        <f>C37*'E Balans VL '!D15/100/3.6*1000000+C37*'E Balans VL '!E15/100/3.6*1000000</f>
        <v>120.72654654953895</v>
      </c>
      <c r="K15" s="33"/>
      <c r="L15" s="33"/>
      <c r="M15" s="33"/>
      <c r="N15" s="33">
        <f>C37*'E Balans VL '!Y15/100/3.6*1000000</f>
        <v>1567.6523975894079</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53139.679830000001</v>
      </c>
      <c r="C18" s="21">
        <f>C5+C16</f>
        <v>0</v>
      </c>
      <c r="D18" s="21">
        <f>MAX((D5+D16),0)</f>
        <v>153823.48579872318</v>
      </c>
      <c r="E18" s="21">
        <f>MAX((E5+E16),0)</f>
        <v>3559.9573785596394</v>
      </c>
      <c r="F18" s="21">
        <f>MAX((F5+F16),0)</f>
        <v>43639.544308827877</v>
      </c>
      <c r="G18" s="21"/>
      <c r="H18" s="21"/>
      <c r="I18" s="21"/>
      <c r="J18" s="21">
        <f>MAX((J5+J16),0)</f>
        <v>518.35604018591994</v>
      </c>
      <c r="K18" s="21"/>
      <c r="L18" s="21">
        <f>MAX((L5+L16),0)</f>
        <v>0</v>
      </c>
      <c r="M18" s="21"/>
      <c r="N18" s="21">
        <f>MAX((N5+N16),0)</f>
        <v>10900.616384749977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0.19893053224754101</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10571.10479204582</v>
      </c>
      <c r="C22" s="23">
        <f ca="1">C18*C20</f>
        <v>0</v>
      </c>
      <c r="D22" s="23">
        <f>D18*D20</f>
        <v>31072.344131342084</v>
      </c>
      <c r="E22" s="23">
        <f>E18*E20</f>
        <v>808.11032493303821</v>
      </c>
      <c r="F22" s="23">
        <f>F18*F20</f>
        <v>11651.758330457043</v>
      </c>
      <c r="G22" s="23"/>
      <c r="H22" s="23"/>
      <c r="I22" s="23"/>
      <c r="J22" s="23">
        <f>J18*J20</f>
        <v>183.49803822581566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745.30919999999992</v>
      </c>
      <c r="C30" s="39">
        <f>IF(ISERROR(B30*3.6/1000000/'E Balans VL '!Z18*100),0,B30*3.6/1000000/'E Balans VL '!Z18*100)</f>
        <v>0.1043184502965203</v>
      </c>
      <c r="D30" s="237" t="s">
        <v>691</v>
      </c>
    </row>
    <row r="31" spans="1:18">
      <c r="A31" s="6" t="s">
        <v>32</v>
      </c>
      <c r="B31" s="37">
        <f>IF( ISERROR(IND_ander_ele_kWh/1000),0,IND_ander_ele_kWh/1000)</f>
        <v>6938.5659999999998</v>
      </c>
      <c r="C31" s="39">
        <f>IF(ISERROR(B31*3.6/1000000/'E Balans VL '!Z19*100),0,B31*3.6/1000000/'E Balans VL '!Z19*100)</f>
        <v>0.30369990822467657</v>
      </c>
      <c r="D31" s="237" t="s">
        <v>691</v>
      </c>
    </row>
    <row r="32" spans="1:18">
      <c r="A32" s="171" t="s">
        <v>40</v>
      </c>
      <c r="B32" s="37">
        <f>IF( ISERROR(IND_voed_ele_kWh/1000),0,IND_voed_ele_kWh/1000)</f>
        <v>16609.775000000001</v>
      </c>
      <c r="C32" s="39">
        <f>IF(ISERROR(B32*3.6/1000000/'E Balans VL '!Z20*100),0,B32*3.6/1000000/'E Balans VL '!Z20*100)</f>
        <v>4.1120287065793679</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69.619630000000001</v>
      </c>
      <c r="C34" s="39">
        <f>IF(ISERROR(B34*3.6/1000000/'E Balans VL '!Z22*100),0,B34*3.6/1000000/'E Balans VL '!Z22*100)</f>
        <v>1.9755210665747896E-3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28776.41</v>
      </c>
      <c r="C37" s="39">
        <f>IF(ISERROR(B37*3.6/1000000/'E Balans VL '!Z15*100),0,B37*3.6/1000000/'E Balans VL '!Z15*100)</f>
        <v>0.2133721534201263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5322.6677</v>
      </c>
      <c r="C5" s="17">
        <f>'Eigen informatie GS &amp; warmtenet'!B60</f>
        <v>0</v>
      </c>
      <c r="D5" s="30">
        <f>IF(ISERROR(SUM(LB_lb_gas_kWh,LB_rest_gas_kWh)/1000),0,SUM(LB_lb_gas_kWh,LB_rest_gas_kWh)/1000)*0.902</f>
        <v>191.4667241690411</v>
      </c>
      <c r="E5" s="17">
        <f>B17*'E Balans VL '!I25/3.6*1000000/100</f>
        <v>49.300777575557817</v>
      </c>
      <c r="F5" s="17">
        <f>B17*('E Balans VL '!L25/3.6*1000000+'E Balans VL '!N25/3.6*1000000)/100</f>
        <v>13504.6219220563</v>
      </c>
      <c r="G5" s="18"/>
      <c r="H5" s="17"/>
      <c r="I5" s="17"/>
      <c r="J5" s="17">
        <f>('E Balans VL '!D25+'E Balans VL '!E25)/3.6*1000000*landbouw!B17/100</f>
        <v>816.0243595549</v>
      </c>
      <c r="K5" s="17"/>
      <c r="L5" s="17">
        <f>L6*(-1)</f>
        <v>0</v>
      </c>
      <c r="M5" s="17"/>
      <c r="N5" s="17">
        <f>N6*(-1)</f>
        <v>124.71428571428569</v>
      </c>
      <c r="O5" s="17"/>
      <c r="P5" s="17"/>
      <c r="R5" s="32"/>
    </row>
    <row r="6" spans="1:18">
      <c r="A6" s="16" t="s">
        <v>493</v>
      </c>
      <c r="B6" s="17" t="s">
        <v>210</v>
      </c>
      <c r="C6" s="17">
        <f>'lokale energieproductie'!O40+'lokale energieproductie'!O33</f>
        <v>62.357142857142847</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5322.6677</v>
      </c>
      <c r="C8" s="21">
        <f>C5+C6</f>
        <v>62.357142857142847</v>
      </c>
      <c r="D8" s="21">
        <f>MAX((D5+D6),0)</f>
        <v>191.4667241690411</v>
      </c>
      <c r="E8" s="21">
        <f>MAX((E5+E6),0)</f>
        <v>49.300777575557817</v>
      </c>
      <c r="F8" s="21">
        <f>MAX((F5+F6),0)</f>
        <v>13504.6219220563</v>
      </c>
      <c r="G8" s="21"/>
      <c r="H8" s="21"/>
      <c r="I8" s="21"/>
      <c r="J8" s="21">
        <f>MAX((J5+J6),0)</f>
        <v>816.0243595549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0.19893053224754101</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1058.841118537795</v>
      </c>
      <c r="C12" s="23">
        <f ca="1">C8*C10</f>
        <v>14.340959609650309</v>
      </c>
      <c r="D12" s="23">
        <f>D8*D10</f>
        <v>38.676278282146306</v>
      </c>
      <c r="E12" s="23">
        <f>E8*E10</f>
        <v>11.191276509651624</v>
      </c>
      <c r="F12" s="23">
        <f>F8*F10</f>
        <v>3605.7340531890322</v>
      </c>
      <c r="G12" s="23"/>
      <c r="H12" s="23"/>
      <c r="I12" s="23"/>
      <c r="J12" s="23">
        <f>J8*J10</f>
        <v>288.87262328243457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0.75677048687700321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912.70705400120289</v>
      </c>
      <c r="C26" s="247">
        <f>B26*'GWP N2O_CH4'!B5</f>
        <v>19166.848134025262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481.56742873325157</v>
      </c>
      <c r="C27" s="247">
        <f>B27*'GWP N2O_CH4'!B5</f>
        <v>10112.916003398283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14.323433192737403</v>
      </c>
      <c r="C28" s="247">
        <f>B28*'GWP N2O_CH4'!B4</f>
        <v>4440.2642897485948</v>
      </c>
      <c r="D28" s="50"/>
    </row>
    <row r="29" spans="1:4">
      <c r="A29" s="41" t="s">
        <v>276</v>
      </c>
      <c r="B29" s="247">
        <f>B34*'ha_N2O bodem landbouw'!B4</f>
        <v>53.567317598293251</v>
      </c>
      <c r="C29" s="247">
        <f>B29*'GWP N2O_CH4'!B4</f>
        <v>16605.868455470907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1.2014205625237553E-2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6.3734909467756743E-5</v>
      </c>
      <c r="C5" s="438" t="s">
        <v>210</v>
      </c>
      <c r="D5" s="423">
        <f>SUM(D6:D11)</f>
        <v>1.20869261728455E-4</v>
      </c>
      <c r="E5" s="423">
        <f>SUM(E6:E11)</f>
        <v>1.2707257011760735E-3</v>
      </c>
      <c r="F5" s="436" t="s">
        <v>210</v>
      </c>
      <c r="G5" s="423">
        <f>SUM(G6:G11)</f>
        <v>0.60369253288884606</v>
      </c>
      <c r="H5" s="423">
        <f>SUM(H6:H11)</f>
        <v>7.4877583737052403E-2</v>
      </c>
      <c r="I5" s="438" t="s">
        <v>210</v>
      </c>
      <c r="J5" s="438" t="s">
        <v>210</v>
      </c>
      <c r="K5" s="438" t="s">
        <v>210</v>
      </c>
      <c r="L5" s="438" t="s">
        <v>210</v>
      </c>
      <c r="M5" s="423">
        <f>SUM(M6:M11)</f>
        <v>3.7284353497191183E-2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3.0084948264219749E-5</v>
      </c>
      <c r="C6" s="424"/>
      <c r="D6" s="866">
        <f>vkm_GW_PW*SUMIFS(TableVerdeelsleutelVkm[CNG],TableVerdeelsleutelVkm[Voertuigtype],"Lichte voertuigen")*SUMIFS(TableECFTransport[EnergieConsumptieFactor (PJ per km)],TableECFTransport[Index],CONCATENATE($A6,"_CNG_CNG"))</f>
        <v>5.2497768023610166E-5</v>
      </c>
      <c r="E6" s="866">
        <f>vkm_GW_PW*SUMIFS(TableVerdeelsleutelVkm[LPG],TableVerdeelsleutelVkm[Voertuigtype],"Lichte voertuigen")*SUMIFS(TableECFTransport[EnergieConsumptieFactor (PJ per km)],TableECFTransport[Index],CONCATENATE($A6,"_LPG_LPG"))</f>
        <v>5.0846668975369411E-4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0.11949842124439281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3.214933060922346E-2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7.908824965158958E-3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6.7334408287139991E-2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1.3058282062661203E-6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3.9038967656534786E-3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7.3011110148178999E-6</v>
      </c>
      <c r="C8" s="424"/>
      <c r="D8" s="426">
        <f>vkm_NGW_PW*SUMIFS(TableVerdeelsleutelVkm[CNG],TableVerdeelsleutelVkm[Voertuigtype],"Lichte voertuigen")*SUMIFS(TableECFTransport[EnergieConsumptieFactor (PJ per km)],TableECFTransport[Index],CONCATENATE($A8,"_CNG_CNG"))</f>
        <v>2.1816096308899941E-5</v>
      </c>
      <c r="E8" s="426">
        <f>vkm_NGW_PW*SUMIFS(TableVerdeelsleutelVkm[LPG],TableVerdeelsleutelVkm[Voertuigtype],"Lichte voertuigen")*SUMIFS(TableECFTransport[EnergieConsumptieFactor (PJ per km)],TableECFTransport[Index],CONCATENATE($A8,"_LPG_LPG"))</f>
        <v>1.9996428857055941E-4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4.4112482756323901E-2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1.2899698413418375E-2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2.9509939503984881E-3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2.6186201738181474E-2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6.2903933522519715E-7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1.5182204732239689E-3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2.6348850188719097E-5</v>
      </c>
      <c r="C10" s="424"/>
      <c r="D10" s="426">
        <f>vkm_SW_PW*SUMIFS(TableVerdeelsleutelVkm[CNG],TableVerdeelsleutelVkm[Voertuigtype],"Lichte voertuigen")*SUMIFS(TableECFTransport[EnergieConsumptieFactor (PJ per km)],TableECFTransport[Index],CONCATENATE($A10,"_CNG_CNG"))</f>
        <v>4.655539739594489E-5</v>
      </c>
      <c r="E10" s="426">
        <f>vkm_SW_PW*SUMIFS(TableVerdeelsleutelVkm[LPG],TableVerdeelsleutelVkm[Voertuigtype],"Lichte voertuigen")*SUMIFS(TableECFTransport[EnergieConsumptieFactor (PJ per km)],TableECFTransport[Index],CONCATENATE($A10,"_LPG_LPG"))</f>
        <v>5.6229472285181993E-4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0.11882472991325554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2.9821927155620306E-2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7.7987737425100831E-3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0.22773628894955228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4.6926912487650135E-6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1.3203643600246211E-2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17.704141518821316</v>
      </c>
      <c r="C14" s="21"/>
      <c r="D14" s="21">
        <f t="shared" ref="D14:M14" si="0">((D5)*10^9/3600)+D12</f>
        <v>33.574794924570838</v>
      </c>
      <c r="E14" s="21">
        <f t="shared" si="0"/>
        <v>352.97936143779816</v>
      </c>
      <c r="F14" s="21"/>
      <c r="G14" s="21">
        <f t="shared" si="0"/>
        <v>167692.37024690167</v>
      </c>
      <c r="H14" s="21">
        <f t="shared" si="0"/>
        <v>20799.328815847886</v>
      </c>
      <c r="I14" s="21"/>
      <c r="J14" s="21"/>
      <c r="K14" s="21"/>
      <c r="L14" s="21"/>
      <c r="M14" s="21">
        <f t="shared" si="0"/>
        <v>10356.764860330884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0.19893053224754101</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3.5218942953249135</v>
      </c>
      <c r="C18" s="23"/>
      <c r="D18" s="23">
        <f t="shared" ref="D18:M18" si="1">D14*D16</f>
        <v>6.7821085747633099</v>
      </c>
      <c r="E18" s="23">
        <f t="shared" si="1"/>
        <v>80.126315046380185</v>
      </c>
      <c r="F18" s="23"/>
      <c r="G18" s="23">
        <f t="shared" si="1"/>
        <v>44773.862855922751</v>
      </c>
      <c r="H18" s="23">
        <f t="shared" si="1"/>
        <v>5179.0328751461238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4.0217742040946688E-3</v>
      </c>
      <c r="H50" s="319">
        <f t="shared" si="2"/>
        <v>0</v>
      </c>
      <c r="I50" s="319">
        <f t="shared" si="2"/>
        <v>0</v>
      </c>
      <c r="J50" s="319">
        <f t="shared" si="2"/>
        <v>0</v>
      </c>
      <c r="K50" s="319">
        <f t="shared" si="2"/>
        <v>0</v>
      </c>
      <c r="L50" s="319">
        <f t="shared" si="2"/>
        <v>0</v>
      </c>
      <c r="M50" s="319">
        <f t="shared" si="2"/>
        <v>2.2987237240017721E-4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4.0217742040946688E-3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2.2987237240017721E-4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1117.1595011374079</v>
      </c>
      <c r="H54" s="21">
        <f t="shared" si="3"/>
        <v>0</v>
      </c>
      <c r="I54" s="21">
        <f t="shared" si="3"/>
        <v>0</v>
      </c>
      <c r="J54" s="21">
        <f t="shared" si="3"/>
        <v>0</v>
      </c>
      <c r="K54" s="21">
        <f t="shared" si="3"/>
        <v>0</v>
      </c>
      <c r="L54" s="21">
        <f t="shared" si="3"/>
        <v>0</v>
      </c>
      <c r="M54" s="21">
        <f t="shared" si="3"/>
        <v>63.853436777827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0.19893053224754101</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298.28158680368796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10877.664945126544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1353.15</v>
      </c>
      <c r="C8" s="545">
        <f>B49</f>
        <v>1540.5882352941176</v>
      </c>
      <c r="D8" s="1022"/>
      <c r="E8" s="1022">
        <f>E49</f>
        <v>0</v>
      </c>
      <c r="F8" s="1023"/>
      <c r="G8" s="546"/>
      <c r="H8" s="1022">
        <f>I49</f>
        <v>0</v>
      </c>
      <c r="I8" s="1022">
        <f>G49+F49</f>
        <v>0</v>
      </c>
      <c r="J8" s="1022">
        <f>H49+D49+C49</f>
        <v>51.35294117647058</v>
      </c>
      <c r="K8" s="1022"/>
      <c r="L8" s="1022"/>
      <c r="M8" s="1022"/>
      <c r="N8" s="547"/>
      <c r="O8" s="548">
        <f>C8*$C$12+D8*$D$12+E8*$E$12+F8*$F$12+G8*$G$12+H8*$H$12+I8*$I$12+J8*$J$12</f>
        <v>311.19882352941175</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12230.814945126544</v>
      </c>
      <c r="C10" s="558">
        <f t="shared" ref="C10:L10" si="0">SUM(C8:C9)</f>
        <v>1540.5882352941176</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311.19882352941175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1933.0714285714287</v>
      </c>
      <c r="C17" s="570">
        <f>B50</f>
        <v>2200.8403361344535</v>
      </c>
      <c r="D17" s="571"/>
      <c r="E17" s="571">
        <f>E50</f>
        <v>0</v>
      </c>
      <c r="F17" s="1028"/>
      <c r="G17" s="572"/>
      <c r="H17" s="570">
        <f>I50</f>
        <v>0</v>
      </c>
      <c r="I17" s="571">
        <f>G50+F50</f>
        <v>0</v>
      </c>
      <c r="J17" s="571">
        <f>H50+D50+C50</f>
        <v>73.3613445378151</v>
      </c>
      <c r="K17" s="571"/>
      <c r="L17" s="571"/>
      <c r="M17" s="571"/>
      <c r="N17" s="1029"/>
      <c r="O17" s="573">
        <f>C17*$C$22+E17*$E$22+H17*$H$22+I17*$I$22+J17*$J$22+D17*$D$22+F17*$F$22+G17*$G$22+K17*$K$22+L17*$L$22</f>
        <v>444.56974789915967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1933.0714285714287</v>
      </c>
      <c r="C20" s="557">
        <f>SUM(C17:C19)</f>
        <v>2200.8403361344535</v>
      </c>
      <c r="D20" s="557">
        <f t="shared" ref="D20:L20" si="1">SUM(D17:D19)</f>
        <v>0</v>
      </c>
      <c r="E20" s="557">
        <f t="shared" si="1"/>
        <v>0</v>
      </c>
      <c r="F20" s="557">
        <f t="shared" si="1"/>
        <v>0</v>
      </c>
      <c r="G20" s="557">
        <f t="shared" si="1"/>
        <v>0</v>
      </c>
      <c r="H20" s="557">
        <f t="shared" si="1"/>
        <v>0</v>
      </c>
      <c r="I20" s="557">
        <f t="shared" si="1"/>
        <v>0</v>
      </c>
      <c r="J20" s="557">
        <f t="shared" si="1"/>
        <v>73.3613445378151</v>
      </c>
      <c r="K20" s="557">
        <f t="shared" si="1"/>
        <v>0</v>
      </c>
      <c r="L20" s="557">
        <f t="shared" si="1"/>
        <v>0</v>
      </c>
      <c r="M20" s="557"/>
      <c r="N20" s="557"/>
      <c r="O20" s="576">
        <f>SUM(O17:O19)</f>
        <v>444.56974789915967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38025</v>
      </c>
      <c r="C28" s="771">
        <v>8630</v>
      </c>
      <c r="D28" s="628" t="s">
        <v>913</v>
      </c>
      <c r="E28" s="627" t="s">
        <v>914</v>
      </c>
      <c r="F28" s="627" t="s">
        <v>915</v>
      </c>
      <c r="G28" s="627" t="s">
        <v>916</v>
      </c>
      <c r="H28" s="627" t="s">
        <v>917</v>
      </c>
      <c r="I28" s="627" t="s">
        <v>914</v>
      </c>
      <c r="J28" s="770">
        <v>40345</v>
      </c>
      <c r="K28" s="770">
        <v>40452</v>
      </c>
      <c r="L28" s="627" t="s">
        <v>918</v>
      </c>
      <c r="M28" s="627">
        <v>291</v>
      </c>
      <c r="N28" s="627">
        <v>1309.5</v>
      </c>
      <c r="O28" s="627">
        <v>1870.7142857142858</v>
      </c>
      <c r="P28" s="627">
        <v>3741.4285714285716</v>
      </c>
      <c r="Q28" s="627">
        <v>0</v>
      </c>
      <c r="R28" s="627">
        <v>0</v>
      </c>
      <c r="S28" s="627">
        <v>0</v>
      </c>
      <c r="T28" s="627">
        <v>0</v>
      </c>
      <c r="U28" s="627">
        <v>0</v>
      </c>
      <c r="V28" s="627">
        <v>0</v>
      </c>
      <c r="W28" s="627">
        <v>0</v>
      </c>
      <c r="X28" s="627">
        <v>1500</v>
      </c>
      <c r="Y28" s="627" t="s">
        <v>50</v>
      </c>
      <c r="Z28" s="629" t="s">
        <v>155</v>
      </c>
    </row>
    <row r="29" spans="1:26" s="581" customFormat="1" ht="25.5">
      <c r="A29" s="580"/>
      <c r="B29" s="771">
        <v>38025</v>
      </c>
      <c r="C29" s="771">
        <v>8630</v>
      </c>
      <c r="D29" s="628" t="s">
        <v>919</v>
      </c>
      <c r="E29" s="627" t="s">
        <v>920</v>
      </c>
      <c r="F29" s="627" t="s">
        <v>921</v>
      </c>
      <c r="G29" s="627" t="s">
        <v>916</v>
      </c>
      <c r="H29" s="627" t="s">
        <v>917</v>
      </c>
      <c r="I29" s="627" t="s">
        <v>922</v>
      </c>
      <c r="J29" s="770">
        <v>41117</v>
      </c>
      <c r="K29" s="770">
        <v>41244</v>
      </c>
      <c r="L29" s="627" t="s">
        <v>918</v>
      </c>
      <c r="M29" s="627">
        <v>9.6999999999999993</v>
      </c>
      <c r="N29" s="627">
        <v>43.649999999999991</v>
      </c>
      <c r="O29" s="627">
        <v>62.357142857142847</v>
      </c>
      <c r="P29" s="627">
        <v>0</v>
      </c>
      <c r="Q29" s="627">
        <v>124.71428571428569</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300.7</v>
      </c>
      <c r="N30" s="585">
        <f>SUM(N28:N29)</f>
        <v>1353.15</v>
      </c>
      <c r="O30" s="585">
        <f>SUM(O28:O29)</f>
        <v>1933.0714285714287</v>
      </c>
      <c r="P30" s="585">
        <f>SUM(P28:P29)</f>
        <v>3741.4285714285716</v>
      </c>
      <c r="Q30" s="585">
        <f>SUM(Q28:Q29)</f>
        <v>124.71428571428569</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291</v>
      </c>
      <c r="N32" s="585">
        <f ca="1">SUMIF($Z$28:AD29,"tertiair",N28:N29)</f>
        <v>1309.5</v>
      </c>
      <c r="O32" s="585">
        <f ca="1">SUMIF($Z$28:AE29,"tertiair",O28:O29)</f>
        <v>1870.7142857142858</v>
      </c>
      <c r="P32" s="585">
        <f ca="1">SUMIF($Z$28:AF29,"tertiair",P28:P29)</f>
        <v>3741.4285714285716</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9.6999999999999993</v>
      </c>
      <c r="N33" s="590">
        <f>SUMIF($Z$28:$Z$29,"landbouw",N28:N29)</f>
        <v>43.649999999999991</v>
      </c>
      <c r="O33" s="590">
        <f>SUMIF($Z$28:$Z$29,"landbouw",O28:O29)</f>
        <v>62.357142857142847</v>
      </c>
      <c r="P33" s="590">
        <f>SUMIF($Z$28:$Z$29,"landbouw",P28:P29)</f>
        <v>0</v>
      </c>
      <c r="Q33" s="590">
        <f>SUMIF($Z$28:$Z$29,"landbouw",Q28:Q29)</f>
        <v>124.71428571428569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1540.5882352941176</v>
      </c>
      <c r="C49" s="619">
        <f t="shared" si="2"/>
        <v>51.35294117647058</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2200.8403361344535</v>
      </c>
      <c r="C50" s="622">
        <f t="shared" si="3"/>
        <v>73.3613445378151</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2020-06-20T16:08:56Z</dcterms:modified>
</cp:coreProperties>
</file>