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4" i="48" l="1"/>
  <c r="D32" i="48" s="1"/>
  <c r="F20" i="18"/>
  <c r="L6" i="17"/>
  <c r="D13" i="15"/>
  <c r="I9" i="18"/>
  <c r="I77" i="14" s="1"/>
  <c r="I9" i="59" s="1"/>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4" i="48"/>
  <c r="P22" i="48" s="1"/>
  <c r="Q11" i="14"/>
  <c r="O4" i="48"/>
  <c r="O22" i="48" s="1"/>
  <c r="P11" i="14"/>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Q13" i="14"/>
  <c r="Q16" i="14" s="1"/>
  <c r="Q27" i="14" s="1"/>
  <c r="P8" i="48"/>
  <c r="P26" i="48"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22" i="16"/>
  <c r="P43" i="14" s="1"/>
  <c r="O8" i="48"/>
  <c r="O26" i="48" s="1"/>
  <c r="P13" i="14"/>
  <c r="Q46" i="14"/>
  <c r="Q61" i="14" s="1"/>
  <c r="Q63" i="14"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52" i="14"/>
  <c r="N61" i="14" s="1"/>
  <c r="N63" i="14" s="1"/>
  <c r="J5" i="48"/>
  <c r="J23" i="48" s="1"/>
  <c r="K10" i="14"/>
  <c r="O33" i="48"/>
  <c r="N22" i="14"/>
  <c r="N27" i="14"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J33" i="48" l="1"/>
  <c r="J15" i="48"/>
  <c r="E8" i="48"/>
  <c r="E26" i="48" s="1"/>
  <c r="E33" i="48" s="1"/>
  <c r="F13" i="14"/>
  <c r="F16" i="14" s="1"/>
  <c r="F27" i="14" s="1"/>
  <c r="F63" i="14" s="1"/>
  <c r="J22" i="16"/>
  <c r="K43" i="14" s="1"/>
  <c r="K46" i="14" s="1"/>
  <c r="K61" i="14" s="1"/>
  <c r="K63" i="14" s="1"/>
  <c r="K13" i="14"/>
  <c r="K16" i="14" s="1"/>
  <c r="K27" i="14" s="1"/>
  <c r="J8" i="48"/>
  <c r="J26" i="48" s="1"/>
  <c r="G33" i="48"/>
  <c r="I22" i="14"/>
  <c r="I27" i="14" s="1"/>
  <c r="I63" i="14" s="1"/>
  <c r="R20" i="14"/>
  <c r="R22" i="14" s="1"/>
  <c r="H27" i="48"/>
  <c r="H33" i="48" s="1"/>
  <c r="H15" i="48"/>
  <c r="O13" i="14"/>
  <c r="N8" i="48"/>
  <c r="N26" i="48" s="1"/>
  <c r="F8" i="48"/>
  <c r="G13" i="14"/>
  <c r="E15" i="48" l="1"/>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<sst xmlns="http://schemas.openxmlformats.org/spreadsheetml/2006/main" count="2443" uniqueCount="920">
  <si>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</si>
  <si>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</si>
  <si>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</si>
  <si>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</si>
  <si>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</si>
  <si>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</si>
  <si>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</si>
  <si>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</si>
  <si>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</si>
  <si>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</si>
  <si>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</si>
  <si>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</si>
  <si>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</si>
  <si>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</si>
  <si>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</si>
  <si>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</si>
  <si>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</si>
  <si>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</si>
  <si>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</si>
  <si>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</si>
  <si>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</si>
  <si>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</si>
  <si>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</si>
  <si>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</si>
  <si>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</si>
  <si>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</si>
  <si>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</si>
  <si>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</si>
  <si>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</si>
  <si>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</si>
  <si>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</si>
  <si>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</si>
  <si>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</si>
  <si>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</si>
  <si>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</si>
  <si>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</si>
  <si>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</si>
  <si>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</si>
  <si>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</si>
  <si>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</si>
  <si>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</si>
  <si>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</si>
  <si>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</si>
  <si>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</si>
  <si>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</si>
  <si>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</si>
  <si>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</si>
  <si>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</si>
  <si>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</si>
  <si>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</si>
  <si>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</si>
  <si>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</si>
  <si>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</si>
  <si>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</si>
  <si>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</si>
  <si>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</si>
  <si>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</si>
  <si>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</si>
  <si>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</si>
  <si>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</si>
  <si>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</si>
  <si>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</si>
  <si>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</si>
  <si>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</si>
  <si>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</si>
  <si>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</si>
  <si>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</si>
  <si>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</si>
  <si>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</si>
  <si>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</si>
  <si>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</si>
  <si>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</si>
  <si>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</si>
  <si>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</si>
  <si>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</si>
  <si>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</si>
  <si>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</si>
  <si>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</si>
  <si>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</si>
  <si>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</si>
  <si>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</si>
  <si>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</si>
  <si>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</si>
  <si>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</si>
  <si>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</si>
  <si>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</si>
  <si>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</si>
  <si>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</si>
  <si>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</si>
  <si>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</si>
  <si>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</si>
  <si>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</si>
  <si>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</si>
  <si>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</si>
  <si>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</si>
  <si>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</si>
  <si>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</si>
  <si>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</si>
  <si>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</si>
  <si>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</si>
  <si>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</si>
  <si>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</si>
  <si>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</si>
  <si>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</si>
  <si>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</si>
  <si>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</si>
  <si>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</si>
  <si>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</si>
  <si>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</si>
  <si>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</si>
  <si>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</si>
  <si>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</si>
  <si>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</si>
  <si>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</si>
  <si>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</si>
  <si>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</si>
  <si>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</si>
  <si>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</si>
  <si>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</si>
  <si>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</si>
  <si>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</si>
  <si>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</si>
  <si>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</si>
  <si>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</si>
  <si>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</si>
  <si>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</si>
  <si>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</si>
  <si>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</si>
  <si>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</si>
  <si>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</si>
  <si>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</si>
  <si>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</si>
  <si>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</si>
  <si>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</si>
  <si>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</si>
  <si>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</si>
  <si>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</si>
  <si>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</si>
  <si>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</si>
  <si>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</si>
  <si>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</si>
  <si>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</si>
  <si>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</si>
  <si>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</si>
  <si>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</si>
  <si>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</si>
  <si>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</si>
  <si>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</si>
  <si>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</si>
  <si>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</si>
  <si>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</si>
  <si>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</si>
  <si>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</si>
  <si>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</si>
  <si>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</si>
  <si>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</si>
  <si>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</si>
  <si>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</si>
  <si>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</si>
  <si>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</si>
  <si>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</si>
  <si>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</si>
  <si>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</si>
  <si>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</si>
  <si>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</si>
  <si>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</si>
  <si>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</si>
  <si>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</si>
  <si>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</si>
  <si>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</si>
  <si>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</si>
  <si>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</si>
  <si>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</si>
  <si>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</si>
  <si>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</si>
  <si>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</si>
  <si>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</si>
  <si>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</si>
  <si>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</si>
  <si>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</si>
  <si>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</si>
  <si>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</si>
  <si>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</si>
  <si>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</si>
  <si>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</si>
  <si>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</si>
  <si>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</si>
  <si>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</si>
  <si>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</si>
  <si>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</si>
  <si>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</si>
  <si>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</si>
  <si>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</si>
  <si>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</si>
  <si>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</si>
  <si>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</si>
  <si>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</si>
  <si>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</si>
  <si>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</si>
  <si>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</si>
  <si>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</si>
  <si>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</si>
  <si>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</si>
  <si>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</si>
  <si>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</si>
  <si>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</si>
  <si>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</si>
  <si>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</si>
  <si>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</si>
  <si>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</si>
  <si>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</si>
  <si>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</si>
  <si>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</si>
  <si>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</si>
  <si>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</si>
  <si>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</si>
  <si>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</si>
  <si>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</si>
  <si>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</si>
  <si>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</si>
  <si>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</si>
  <si>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</si>
  <si>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</si>
  <si>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</si>
  <si>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</si>
  <si>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</si>
  <si>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</si>
  <si>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</si>
  <si>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</si>
  <si>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</si>
  <si>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</si>
  <si>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</si>
  <si>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</si>
  <si>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</si>
  <si>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</si>
  <si>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</si>
  <si>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</si>
  <si>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</si>
  <si>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</si>
  <si>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</si>
  <si>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</si>
  <si>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</si>
  <si>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</si>
  <si>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</si>
  <si>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</si>
  <si>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</si>
  <si>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</si>
  <si>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</si>
  <si>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</si>
  <si>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</si>
  <si>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</si>
  <si>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</si>
  <si>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</si>
  <si>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</si>
  <si>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</si>
  <si>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</si>
  <si>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</si>
  <si>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</si>
  <si>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</si>
  <si>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</si>
  <si>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</si>
  <si>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</si>
  <si>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</si>
  <si>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</si>
  <si>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</si>
  <si>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</si>
  <si>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</si>
  <si>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</si>
  <si>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</si>
  <si>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</si>
  <si>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</si>
  <si>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</si>
  <si>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</si>
  <si>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</si>
  <si>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</si>
  <si>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</si>
  <si>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</si>
  <si>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</si>
  <si>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</si>
  <si>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</si>
  <si>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</si>
  <si>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</si>
  <si>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</si>
  <si>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</si>
  <si>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</si>
  <si>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</si>
  <si>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</si>
  <si>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</si>
  <si>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</si>
  <si>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</si>
  <si>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</si>
  <si>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</si>
  <si>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</si>
  <si>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</si>
  <si>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</si>
  <si>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</si>
  <si>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</si>
  <si>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</si>
  <si>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</si>
  <si>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</si>
  <si>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</si>
  <si>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</si>
  <si>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</si>
  <si>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</si>
  <si>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</si>
  <si>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</si>
  <si>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</si>
  <si>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</si>
  <si>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</si>
  <si>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</si>
  <si>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</si>
  <si>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</si>
  <si>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</si>
  <si>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</si>
  <si>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</si>
  <si>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</si>
  <si>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</si>
  <si>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</si>
  <si>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</si>
  <si>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</si>
  <si>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</si>
  <si>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</si>
  <si>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</si>
  <si>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</si>
  <si>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</si>
  <si>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</si>
  <si>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</si>
  <si>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</si>
  <si>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</si>
  <si>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</si>
  <si>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</si>
  <si>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</si>
  <si>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</si>
  <si>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</si>
  <si>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</si>
  <si>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</si>
  <si>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</si>
  <si>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</si>
  <si>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</si>
  <si>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</si>
  <si>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</si>
  <si>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</si>
  <si>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</si>
  <si>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</si>
  <si>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</si>
  <si>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</si>
  <si>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</si>
  <si>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</si>
  <si>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</si>
  <si>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</si>
  <si>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</si>
  <si>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</si>
  <si>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</si>
  <si>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</si>
  <si>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</si>
  <si>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</si>
  <si>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</si>
  <si>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</si>
  <si>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</si>
  <si>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</si>
  <si>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</si>
  <si>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</si>
  <si>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</si>
  <si>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</si>
  <si>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</si>
  <si>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</si>
  <si>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</si>
  <si>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</si>
  <si>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</si>
  <si>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</si>
  <si>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</si>
  <si>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</si>
  <si>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</si>
  <si>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</si>
  <si>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</si>
  <si>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</si>
  <si>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</si>
  <si>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</si>
  <si>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</si>
  <si>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</si>
  <si>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</si>
  <si>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</si>
  <si>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</si>
  <si>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</si>
  <si>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</si>
  <si>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</si>
  <si>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</si>
  <si>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</si>
  <si>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</si>
  <si>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</si>
  <si>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</si>
  <si>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</si>
  <si>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</si>
  <si>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</si>
  <si>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</si>
  <si>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</si>
  <si>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</si>
  <si>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</si>
  <si>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</si>
  <si>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</si>
  <si>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</si>
  <si>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</si>
  <si>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</si>
  <si>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</si>
  <si>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</si>
  <si>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</si>
  <si>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</si>
  <si>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</si>
  <si>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</si>
  <si>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</si>
  <si>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</si>
  <si>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</si>
  <si>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</si>
  <si>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</si>
  <si>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</si>
  <si>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</si>
  <si>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</si>
  <si>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</si>
  <si>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</si>
  <si>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</si>
  <si>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</si>
  <si>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</si>
  <si>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</si>
  <si>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</si>
  <si>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</si>
  <si>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</si>
  <si>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</si>
  <si>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</si>
  <si>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</si>
  <si>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</si>
  <si>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</si>
  <si>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</si>
  <si>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</si>
  <si>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</si>
  <si>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</si>
  <si>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</si>
  <si>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</si>
  <si>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</si>
  <si>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</si>
  <si>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</si>
  <si>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</si>
  <si>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</si>
  <si>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</si>
  <si>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</si>
  <si>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</si>
  <si>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</si>
  <si>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</si>
  <si>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</si>
  <si>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</si>
  <si>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</si>
  <si>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</si>
  <si>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</si>
  <si>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</si>
  <si>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</si>
  <si>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</si>
  <si>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</si>
  <si>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</si>
  <si>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</si>
  <si>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</si>
  <si>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</si>
  <si>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</si>
  <si>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</si>
  <si>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</si>
  <si>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</si>
  <si>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</si>
  <si>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</si>
  <si>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</si>
  <si>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</si>
  <si>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</si>
  <si>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</si>
  <si>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</si>
  <si>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</si>
  <si>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</si>
  <si>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</si>
  <si>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</si>
  <si>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</si>
  <si>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</si>
  <si>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</si>
  <si>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</si>
  <si>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</si>
  <si>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</si>
  <si>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</si>
  <si>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</si>
  <si>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</si>
  <si>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</si>
  <si>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</si>
  <si>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</si>
  <si>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</si>
  <si>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</si>
  <si>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</si>
  <si>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</si>
  <si>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</si>
  <si>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</si>
  <si>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</si>
  <si>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</si>
  <si>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</si>
  <si>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</si>
  <si>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</si>
  <si>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</si>
  <si>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</si>
  <si>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</si>
  <si>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</si>
  <si>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</si>
  <si>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</si>
  <si>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</si>
  <si>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</si>
  <si>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</si>
  <si>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</si>
  <si>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</si>
  <si>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</si>
  <si>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</si>
  <si>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</si>
  <si>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</si>
  <si>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</si>
  <si>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</si>
  <si>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</si>
  <si>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</si>
  <si>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</si>
  <si>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</si>
  <si>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</si>
  <si>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</si>
  <si>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</si>
  <si>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</si>
  <si>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</si>
  <si>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</si>
  <si>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</si>
  <si>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</si>
  <si>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</si>
  <si>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</si>
  <si>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</si>
  <si>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</si>
  <si>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</si>
  <si>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</si>
  <si>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</si>
  <si>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</si>
  <si>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</si>
  <si>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</si>
  <si>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</si>
  <si>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</si>
  <si>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</si>
  <si>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</si>
  <si>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</si>
  <si>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</si>
  <si>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</si>
  <si>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</si>
  <si>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</si>
  <si>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</si>
  <si>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</si>
  <si>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</si>
  <si>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</si>
  <si>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</si>
  <si>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</si>
  <si>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</si>
  <si>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</si>
  <si>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</si>
  <si>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</si>
  <si>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</si>
  <si>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</si>
  <si>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</si>
  <si>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</si>
  <si>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</si>
  <si>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</si>
  <si>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</si>
  <si>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</si>
  <si>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</si>
  <si>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</si>
  <si>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</si>
  <si>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</si>
  <si>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</si>
  <si>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</si>
  <si>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</si>
  <si>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</si>
  <si>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</si>
  <si>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</si>
  <si>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</si>
  <si>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</si>
  <si>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</si>
  <si>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</si>
  <si>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</si>
  <si>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</si>
  <si>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</si>
  <si>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</si>
  <si>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</si>
  <si>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</si>
  <si>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</si>
  <si>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</si>
  <si>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</si>
  <si>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</si>
  <si>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</si>
  <si>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</si>
  <si>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</si>
  <si>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</si>
  <si>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</si>
  <si>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</si>
  <si>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</si>
  <si>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</si>
  <si>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</si>
  <si>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</si>
  <si>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</si>
  <si>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</si>
  <si>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</si>
  <si>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</si>
  <si>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</si>
  <si>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</si>
  <si>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</si>
  <si>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</si>
  <si>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</si>
  <si>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</si>
  <si>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</si>
  <si>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</si>
  <si>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</si>
  <si>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</si>
  <si>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</si>
  <si>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</si>
  <si>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</si>
  <si>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</si>
  <si>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</si>
  <si>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</si>
  <si>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</si>
  <si>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</si>
  <si>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</si>
  <si>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</si>
  <si>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</si>
  <si>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</si>
  <si>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</si>
  <si>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</si>
  <si>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</si>
  <si>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</si>
  <si>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</si>
  <si>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</si>
  <si>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</si>
  <si>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</si>
  <si>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</si>
  <si>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</si>
  <si>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</si>
  <si>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</si>
  <si>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</si>
  <si>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</si>
  <si>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</si>
  <si>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</si>
  <si>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</si>
  <si>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</si>
  <si>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</si>
  <si>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</si>
  <si>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</si>
  <si>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</si>
  <si>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</si>
  <si>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</si>
  <si>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</si>
  <si>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</si>
  <si>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</si>
  <si>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</si>
  <si>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</si>
  <si>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</si>
  <si>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</si>
  <si>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</si>
  <si>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</si>
  <si>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</si>
  <si>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</si>
  <si>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</si>
  <si>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</si>
  <si>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</si>
  <si>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</si>
  <si>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</si>
  <si>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</si>
  <si>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</si>
  <si>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</si>
  <si>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</si>
  <si>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</si>
  <si>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</si>
  <si>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</si>
  <si>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</si>
  <si>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</si>
  <si>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</si>
  <si>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</si>
  <si>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</si>
  <si>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</si>
  <si>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</si>
  <si>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</si>
  <si>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</si>
  <si>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</si>
  <si>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</si>
  <si>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</si>
  <si>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</si>
  <si>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</si>
  <si>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</si>
  <si>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</si>
  <si>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</si>
  <si>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</si>
  <si>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</si>
  <si>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</si>
  <si>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</si>
  <si>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</si>
  <si>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</si>
  <si>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</si>
  <si>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</si>
  <si>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</si>
  <si>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</si>
  <si>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</si>
  <si>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</si>
  <si>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</si>
  <si>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</si>
  <si>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</si>
  <si>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</si>
  <si>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</si>
  <si>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</si>
  <si>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</si>
  <si>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</si>
  <si>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</si>
  <si>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</si>
  <si>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</si>
  <si>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</si>
  <si>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</si>
  <si>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</si>
  <si>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</si>
  <si>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</si>
  <si>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</si>
  <si>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</si>
  <si>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</si>
  <si>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</si>
  <si>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</si>
  <si>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</si>
  <si>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</si>
  <si>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</si>
  <si>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</si>
  <si>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</si>
  <si>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</si>
  <si>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</si>
  <si>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</si>
  <si>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</si>
  <si>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</si>
  <si>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</si>
  <si>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</si>
  <si>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</si>
  <si>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</si>
  <si>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</si>
  <si>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</si>
  <si>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</si>
  <si>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</si>
  <si>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</si>
  <si>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</si>
  <si>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</si>
  <si>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</si>
  <si>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</si>
  <si>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</si>
  <si>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</si>
  <si>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</si>
  <si>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</si>
  <si>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</si>
  <si>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</si>
  <si>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</si>
  <si>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</si>
  <si>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</si>
  <si>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</si>
  <si>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</si>
  <si>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</si>
  <si>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</si>
  <si>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</si>
  <si>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</si>
  <si>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</si>
  <si>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</si>
  <si>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</si>
  <si>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</si>
  <si>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</si>
  <si>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</si>
  <si>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</si>
  <si>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</si>
  <si>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</si>
  <si>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</si>
  <si>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</si>
  <si>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</si>
  <si>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</si>
  <si>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</si>
  <si>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</si>
  <si>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</si>
  <si>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</si>
  <si>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</si>
  <si>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</si>
  <si>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</si>
  <si>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</si>
  <si>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</si>
  <si>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</si>
  <si>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</si>
  <si>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</si>
  <si>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</si>
  <si>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</si>
  <si>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</si>
  <si>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</si>
  <si>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</si>
  <si>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</si>
  <si>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</si>
  <si>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</si>
  <si>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</si>
  <si>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</si>
  <si>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</si>
  <si>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</si>
  <si>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</si>
  <si>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</si>
  <si>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</si>
  <si>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</si>
  <si>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</si>
  <si>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</si>
  <si>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</si>
  <si>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</si>
  <si>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</si>
  <si>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</si>
  <si>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</si>
  <si>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</si>
  <si>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</si>
  <si>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</si>
  <si>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</si>
  <si>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</si>
  <si>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</si>
  <si>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</si>
  <si>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</si>
  <si>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</si>
  <si>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</si>
  <si>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</si>
  <si>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</si>
  <si>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</si>
  <si>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</si>
  <si>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</si>
  <si>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</si>
  <si>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</si>
  <si>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</si>
  <si>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</si>
  <si>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</si>
  <si>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</si>
  <si>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</si>
  <si>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</si>
  <si>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</si>
  <si>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</si>
  <si>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</si>
  <si>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</si>
  <si>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</si>
  <si>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</si>
  <si>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</si>
  <si>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</si>
  <si>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</si>
  <si>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</si>
  <si>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</si>
  <si>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</si>
  <si>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</si>
  <si>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</si>
  <si>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</si>
  <si>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</si>
  <si>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</si>
  <si>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</si>
  <si>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</si>
  <si>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</si>
  <si>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</si>
  <si>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</si>
  <si>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</si>
  <si>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</si>
  <si>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</si>
  <si>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</si>
  <si>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</si>
  <si>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</si>
  <si>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</si>
  <si>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</si>
  <si>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</si>
  <si>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</si>
  <si>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</si>
  <si>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</si>
  <si>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</si>
  <si>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</si>
  <si>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</si>
  <si>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</si>
  <si>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</si>
  <si>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</si>
  <si>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</si>
  <si>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</si>
  <si>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</si>
  <si>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</si>
  <si>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</si>
  <si>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</si>
  <si>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</si>
  <si>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</si>
  <si>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</si>
  <si>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</si>
  <si>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</si>
  <si>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</si>
  <si>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</si>
  <si>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</si>
  <si>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</si>
  <si>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</si>
  <si>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</si>
  <si>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</si>
  <si>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</si>
  <si>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</si>
  <si>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</si>
  <si>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</si>
  <si>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</si>
  <si>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</si>
  <si>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</si>
  <si>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</si>
  <si>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</si>
  <si>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</si>
  <si>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</si>
  <si>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</si>
  <si>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</si>
  <si>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</si>
  <si>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</si>
  <si>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</si>
  <si>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</si>
  <si>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</si>
  <si>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</si>
  <si>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35013</t>
  </si>
  <si>
    <t>OOSTENDE</t>
  </si>
  <si>
    <t>Paarden&amp;pony's 200 - 600 kg</t>
  </si>
  <si>
    <t>Paarden&amp;pony's &lt; 200 kg</t>
  </si>
  <si>
    <t>Fluvius</t>
  </si>
  <si>
    <t>referentietaak LNE (2017); Jaarverslag De Lijn</t>
  </si>
  <si>
    <t>NMBS NV</t>
  </si>
  <si>
    <t>Frankrijkstraat 52-54 1060 Brussel 40 , 1060 Sint-Gilis</t>
  </si>
  <si>
    <t>WKK-0371 NMBS Oostende</t>
  </si>
  <si>
    <t>interne verbrandingsmotor</t>
  </si>
  <si>
    <t>WKK interne verbrandinsgmotor (gas)</t>
  </si>
  <si>
    <t>Konterdamkaai 12 , 8400 Oostende</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</si>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</sst>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400965.9297199588</c:v>
                </c:pt>
                <c:pt idx="1">
                  <c:v>353009.02969459409</c:v>
                </c:pt>
                <c:pt idx="2">
                  <c:v>4031.8910000000001</c:v>
                </c:pt>
                <c:pt idx="3">
                  <c:v>2776.944832316768</c:v>
                </c:pt>
                <c:pt idx="4">
                  <c:v>179296.52168273326</c:v>
                </c:pt>
                <c:pt idx="5">
                  <c:v>223948.16925908849</c:v>
                </c:pt>
                <c:pt idx="6">
                  <c:v>11352.560355230458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400965.9297199588</c:v>
                </c:pt>
                <c:pt idx="1">
                  <c:v>353009.02969459409</c:v>
                </c:pt>
                <c:pt idx="2">
                  <c:v>4031.8910000000001</c:v>
                </c:pt>
                <c:pt idx="3">
                  <c:v>2776.944832316768</c:v>
                </c:pt>
                <c:pt idx="4">
                  <c:v>179296.52168273326</c:v>
                </c:pt>
                <c:pt idx="5">
                  <c:v>223948.16925908849</c:v>
                </c:pt>
                <c:pt idx="6">
                  <c:v>11352.560355230458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80839.129131089692</c:v>
                </c:pt>
                <c:pt idx="2">
                  <c:v>70990.852505894494</c:v>
                </c:pt>
                <c:pt idx="3">
                  <c:v>866.37992729629559</c:v>
                </c:pt>
                <c:pt idx="4">
                  <c:v>689.21896286854576</c:v>
                </c:pt>
                <c:pt idx="5">
                  <c:v>38012.366380970569</c:v>
                </c:pt>
                <c:pt idx="6">
                  <c:v>56153.292633924262</c:v>
                </c:pt>
                <c:pt idx="7">
                  <c:v>2800.1516152949789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80839.129131089692</c:v>
                </c:pt>
                <c:pt idx="2">
                  <c:v>70990.852505894494</c:v>
                </c:pt>
                <c:pt idx="3">
                  <c:v>866.37992729629559</c:v>
                </c:pt>
                <c:pt idx="4">
                  <c:v>689.21896286854576</c:v>
                </c:pt>
                <c:pt idx="5">
                  <c:v>38012.366380970569</c:v>
                </c:pt>
                <c:pt idx="6">
                  <c:v>56153.292633924262</c:v>
                </c:pt>
                <c:pt idx="7">
                  <c:v>2800.1516152949789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35013</v>
      </c>
      <c r="B6" s="391"/>
      <c r="C6" s="392"/>
    </row>
    <row r="7" spans="1:7" s="389" customFormat="1" ht="15.75" customHeight="1">
      <c r="A7" s="393" t="str">
        <f>txtMunicipality</f>
        <v>OOSTENDE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157077.51599999997</v>
      </c>
      <c r="D10" s="991">
        <f ca="1">tertiair!C16</f>
        <v>321.42857142857144</v>
      </c>
      <c r="E10" s="991">
        <f ca="1">tertiair!D16</f>
        <v>154301.39424029886</v>
      </c>
      <c r="F10" s="991">
        <f>tertiair!E16</f>
        <v>1785.9683820266746</v>
      </c>
      <c r="G10" s="991">
        <f ca="1">tertiair!F16</f>
        <v>24170.234824723015</v>
      </c>
      <c r="H10" s="991">
        <f>tertiair!G16</f>
        <v>0</v>
      </c>
      <c r="I10" s="991">
        <f>tertiair!H16</f>
        <v>0</v>
      </c>
      <c r="J10" s="991">
        <f>tertiair!I16</f>
        <v>0</v>
      </c>
      <c r="K10" s="991">
        <f>tertiair!J16</f>
        <v>0</v>
      </c>
      <c r="L10" s="991">
        <f>tertiair!K16</f>
        <v>0</v>
      </c>
      <c r="M10" s="991">
        <f ca="1">tertiair!L16</f>
        <v>0</v>
      </c>
      <c r="N10" s="991">
        <f>tertiair!M16</f>
        <v>0</v>
      </c>
      <c r="O10" s="991">
        <f ca="1">tertiair!N16</f>
        <v>19128.695342783703</v>
      </c>
      <c r="P10" s="991">
        <f>tertiair!O16</f>
        <v>7.8166666666666664</v>
      </c>
      <c r="Q10" s="992">
        <f>tertiair!P16</f>
        <v>247.86666666666667</v>
      </c>
      <c r="R10" s="675">
        <f ca="1">SUM(C10:Q10)</f>
        <v>357040.9206945941</v>
      </c>
      <c r="S10" s="67"/>
    </row>
    <row r="11" spans="1:19" s="448" customFormat="1">
      <c r="A11" s="784" t="s">
        <v>224</v>
      </c>
      <c r="B11" s="789"/>
      <c r="C11" s="991">
        <f>huishoudens!B8</f>
        <v>140994.17883709609</v>
      </c>
      <c r="D11" s="991">
        <f>huishoudens!C8</f>
        <v>0</v>
      </c>
      <c r="E11" s="991">
        <f>huishoudens!D8</f>
        <v>238178.41289014567</v>
      </c>
      <c r="F11" s="991">
        <f>huishoudens!E8</f>
        <v>10704.886227940251</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9896.8484314434627</v>
      </c>
      <c r="P11" s="991">
        <f>huishoudens!O8</f>
        <v>295.47000000000003</v>
      </c>
      <c r="Q11" s="992">
        <f>huishoudens!P8</f>
        <v>896.13333333333333</v>
      </c>
      <c r="R11" s="675">
        <f>SUM(C11:Q11)</f>
        <v>400965.9297199588</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62894.333560000006</v>
      </c>
      <c r="D13" s="991">
        <f>industrie!C18</f>
        <v>0</v>
      </c>
      <c r="E13" s="991">
        <f>industrie!D18</f>
        <v>57882.759170335397</v>
      </c>
      <c r="F13" s="991">
        <f>industrie!E18</f>
        <v>4160.3556365553932</v>
      </c>
      <c r="G13" s="991">
        <f>industrie!F18</f>
        <v>43824.873336644581</v>
      </c>
      <c r="H13" s="991">
        <f>industrie!G18</f>
        <v>0</v>
      </c>
      <c r="I13" s="991">
        <f>industrie!H18</f>
        <v>0</v>
      </c>
      <c r="J13" s="991">
        <f>industrie!I18</f>
        <v>0</v>
      </c>
      <c r="K13" s="991">
        <f>industrie!J18</f>
        <v>450.73609231344722</v>
      </c>
      <c r="L13" s="991">
        <f>industrie!K18</f>
        <v>0</v>
      </c>
      <c r="M13" s="991">
        <f>industrie!L18</f>
        <v>0</v>
      </c>
      <c r="N13" s="991">
        <f>industrie!M18</f>
        <v>0</v>
      </c>
      <c r="O13" s="991">
        <f>industrie!N18</f>
        <v>10083.463886884432</v>
      </c>
      <c r="P13" s="991">
        <f>industrie!O18</f>
        <v>0</v>
      </c>
      <c r="Q13" s="992">
        <f>industrie!P18</f>
        <v>0</v>
      </c>
      <c r="R13" s="675">
        <f>SUM(C13:Q13)</f>
        <v>179296.52168273326</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360966.02839709603</v>
      </c>
      <c r="D16" s="707">
        <f t="shared" ref="D16:R16" ca="1" si="0">SUM(D9:D15)</f>
        <v>321.42857142857144</v>
      </c>
      <c r="E16" s="707">
        <f t="shared" ca="1" si="0"/>
        <v>450362.56630077993</v>
      </c>
      <c r="F16" s="707">
        <f t="shared" si="0"/>
        <v>16651.210246522318</v>
      </c>
      <c r="G16" s="707">
        <f t="shared" ca="1" si="0"/>
        <v>67995.108161367592</v>
      </c>
      <c r="H16" s="707">
        <f t="shared" si="0"/>
        <v>0</v>
      </c>
      <c r="I16" s="707">
        <f t="shared" si="0"/>
        <v>0</v>
      </c>
      <c r="J16" s="707">
        <f t="shared" si="0"/>
        <v>0</v>
      </c>
      <c r="K16" s="707">
        <f t="shared" si="0"/>
        <v>450.73609231344722</v>
      </c>
      <c r="L16" s="707">
        <f t="shared" si="0"/>
        <v>0</v>
      </c>
      <c r="M16" s="707">
        <f t="shared" ca="1" si="0"/>
        <v>0</v>
      </c>
      <c r="N16" s="707">
        <f t="shared" si="0"/>
        <v>0</v>
      </c>
      <c r="O16" s="707">
        <f t="shared" ca="1" si="0"/>
        <v>39109.007661111602</v>
      </c>
      <c r="P16" s="707">
        <f t="shared" si="0"/>
        <v>303.28666666666669</v>
      </c>
      <c r="Q16" s="707">
        <f t="shared" si="0"/>
        <v>1144</v>
      </c>
      <c r="R16" s="707">
        <f t="shared" ca="1" si="0"/>
        <v>937303.37209728616</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1780.6368529337703</v>
      </c>
      <c r="D19" s="991">
        <f>transport!C54</f>
        <v>0</v>
      </c>
      <c r="E19" s="991">
        <f>transport!D54</f>
        <v>0</v>
      </c>
      <c r="F19" s="991">
        <f>transport!E54</f>
        <v>0</v>
      </c>
      <c r="G19" s="991">
        <f>transport!F54</f>
        <v>0</v>
      </c>
      <c r="H19" s="991">
        <f>transport!G54</f>
        <v>9054.4014730503277</v>
      </c>
      <c r="I19" s="991">
        <f>transport!H54</f>
        <v>0</v>
      </c>
      <c r="J19" s="991">
        <f>transport!I54</f>
        <v>0</v>
      </c>
      <c r="K19" s="991">
        <f>transport!J54</f>
        <v>0</v>
      </c>
      <c r="L19" s="991">
        <f>transport!K54</f>
        <v>0</v>
      </c>
      <c r="M19" s="991">
        <f>transport!L54</f>
        <v>0</v>
      </c>
      <c r="N19" s="991">
        <f>transport!M54</f>
        <v>517.52202924636015</v>
      </c>
      <c r="O19" s="991">
        <f>transport!N54</f>
        <v>0</v>
      </c>
      <c r="P19" s="991">
        <f>transport!O54</f>
        <v>0</v>
      </c>
      <c r="Q19" s="992">
        <f>transport!P54</f>
        <v>0</v>
      </c>
      <c r="R19" s="675">
        <f>SUM(C19:Q19)</f>
        <v>11352.560355230458</v>
      </c>
      <c r="S19" s="67"/>
    </row>
    <row r="20" spans="1:19" s="448" customFormat="1">
      <c r="A20" s="784" t="s">
        <v>306</v>
      </c>
      <c r="B20" s="789"/>
      <c r="C20" s="991">
        <f>transport!B14</f>
        <v>25.674616152630467</v>
      </c>
      <c r="D20" s="991">
        <f>transport!C14</f>
        <v>0</v>
      </c>
      <c r="E20" s="991">
        <f>transport!D14</f>
        <v>51.430164958080383</v>
      </c>
      <c r="F20" s="991">
        <f>transport!E14</f>
        <v>510.98105894533529</v>
      </c>
      <c r="G20" s="991">
        <f>transport!F14</f>
        <v>0</v>
      </c>
      <c r="H20" s="991">
        <f>transport!G14</f>
        <v>180522.25244691531</v>
      </c>
      <c r="I20" s="991">
        <f>transport!H14</f>
        <v>31413.464375890646</v>
      </c>
      <c r="J20" s="991">
        <f>transport!I14</f>
        <v>0</v>
      </c>
      <c r="K20" s="991">
        <f>transport!J14</f>
        <v>0</v>
      </c>
      <c r="L20" s="991">
        <f>transport!K14</f>
        <v>0</v>
      </c>
      <c r="M20" s="991">
        <f>transport!L14</f>
        <v>0</v>
      </c>
      <c r="N20" s="991">
        <f>transport!M14</f>
        <v>11424.366596226495</v>
      </c>
      <c r="O20" s="991">
        <f>transport!N14</f>
        <v>0</v>
      </c>
      <c r="P20" s="991">
        <f>transport!O14</f>
        <v>0</v>
      </c>
      <c r="Q20" s="992">
        <f>transport!P14</f>
        <v>0</v>
      </c>
      <c r="R20" s="675">
        <f>SUM(C20:Q20)</f>
        <v>223948.16925908849</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1806.3114690864008</v>
      </c>
      <c r="D22" s="787">
        <f t="shared" ref="D22:R22" si="1">SUM(D18:D21)</f>
        <v>0</v>
      </c>
      <c r="E22" s="787">
        <f t="shared" si="1"/>
        <v>51.430164958080383</v>
      </c>
      <c r="F22" s="787">
        <f t="shared" si="1"/>
        <v>510.98105894533529</v>
      </c>
      <c r="G22" s="787">
        <f t="shared" si="1"/>
        <v>0</v>
      </c>
      <c r="H22" s="787">
        <f t="shared" si="1"/>
        <v>189576.65391996564</v>
      </c>
      <c r="I22" s="787">
        <f t="shared" si="1"/>
        <v>31413.464375890646</v>
      </c>
      <c r="J22" s="787">
        <f t="shared" si="1"/>
        <v>0</v>
      </c>
      <c r="K22" s="787">
        <f t="shared" si="1"/>
        <v>0</v>
      </c>
      <c r="L22" s="787">
        <f t="shared" si="1"/>
        <v>0</v>
      </c>
      <c r="M22" s="787">
        <f t="shared" si="1"/>
        <v>0</v>
      </c>
      <c r="N22" s="787">
        <f t="shared" si="1"/>
        <v>11941.888625472855</v>
      </c>
      <c r="O22" s="787">
        <f t="shared" si="1"/>
        <v>0</v>
      </c>
      <c r="P22" s="787">
        <f t="shared" si="1"/>
        <v>0</v>
      </c>
      <c r="Q22" s="787">
        <f t="shared" si="1"/>
        <v>0</v>
      </c>
      <c r="R22" s="787">
        <f t="shared" si="1"/>
        <v>235300.72961431896</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637.13080000000002</v>
      </c>
      <c r="D24" s="991">
        <f>+landbouw!C8</f>
        <v>0</v>
      </c>
      <c r="E24" s="991">
        <f>+landbouw!D8</f>
        <v>419.71118505893452</v>
      </c>
      <c r="F24" s="991">
        <f>+landbouw!E8</f>
        <v>5.9013723245088556</v>
      </c>
      <c r="G24" s="991">
        <f>+landbouw!F8</f>
        <v>1616.5222128928444</v>
      </c>
      <c r="H24" s="991">
        <f>+landbouw!G8</f>
        <v>0</v>
      </c>
      <c r="I24" s="991">
        <f>+landbouw!H8</f>
        <v>0</v>
      </c>
      <c r="J24" s="991">
        <f>+landbouw!I8</f>
        <v>0</v>
      </c>
      <c r="K24" s="991">
        <f>+landbouw!J8</f>
        <v>97.679262040480396</v>
      </c>
      <c r="L24" s="991">
        <f>+landbouw!K8</f>
        <v>0</v>
      </c>
      <c r="M24" s="991">
        <f>+landbouw!L8</f>
        <v>0</v>
      </c>
      <c r="N24" s="991">
        <f>+landbouw!M8</f>
        <v>0</v>
      </c>
      <c r="O24" s="991">
        <f>+landbouw!N8</f>
        <v>0</v>
      </c>
      <c r="P24" s="991">
        <f>+landbouw!O8</f>
        <v>0</v>
      </c>
      <c r="Q24" s="992">
        <f>+landbouw!P8</f>
        <v>0</v>
      </c>
      <c r="R24" s="675">
        <f>SUM(C24:Q24)</f>
        <v>2776.944832316768</v>
      </c>
      <c r="S24" s="67"/>
    </row>
    <row r="25" spans="1:19" s="448" customFormat="1" ht="15" thickBot="1">
      <c r="A25" s="806" t="s">
        <v>849</v>
      </c>
      <c r="B25" s="994"/>
      <c r="C25" s="995">
        <f>IF(Onbekend_ele_kWh="---",0,Onbekend_ele_kWh)/1000+IF(REST_rest_ele_kWh="---",0,REST_rest_ele_kWh)/1000</f>
        <v>12404.465999999999</v>
      </c>
      <c r="D25" s="995"/>
      <c r="E25" s="995">
        <f>IF(onbekend_gas_kWh="---",0,onbekend_gas_kWh)/1000+IF(REST_rest_gas_kWh="---",0,REST_rest_gas_kWh)/1000</f>
        <v>32579.7904379504</v>
      </c>
      <c r="F25" s="995"/>
      <c r="G25" s="995"/>
      <c r="H25" s="995"/>
      <c r="I25" s="995"/>
      <c r="J25" s="995"/>
      <c r="K25" s="995"/>
      <c r="L25" s="995"/>
      <c r="M25" s="995"/>
      <c r="N25" s="995"/>
      <c r="O25" s="995"/>
      <c r="P25" s="995"/>
      <c r="Q25" s="996"/>
      <c r="R25" s="675">
        <f>SUM(C25:Q25)</f>
        <v>44984.256437950397</v>
      </c>
      <c r="S25" s="67"/>
    </row>
    <row r="26" spans="1:19" s="448" customFormat="1" ht="15.75" thickBot="1">
      <c r="A26" s="680" t="s">
        <v>850</v>
      </c>
      <c r="B26" s="792"/>
      <c r="C26" s="787">
        <f>SUM(C24:C25)</f>
        <v>13041.596799999999</v>
      </c>
      <c r="D26" s="787">
        <f t="shared" ref="D26:R26" si="2">SUM(D24:D25)</f>
        <v>0</v>
      </c>
      <c r="E26" s="787">
        <f t="shared" si="2"/>
        <v>32999.501623009332</v>
      </c>
      <c r="F26" s="787">
        <f t="shared" si="2"/>
        <v>5.9013723245088556</v>
      </c>
      <c r="G26" s="787">
        <f t="shared" si="2"/>
        <v>1616.5222128928444</v>
      </c>
      <c r="H26" s="787">
        <f t="shared" si="2"/>
        <v>0</v>
      </c>
      <c r="I26" s="787">
        <f t="shared" si="2"/>
        <v>0</v>
      </c>
      <c r="J26" s="787">
        <f t="shared" si="2"/>
        <v>0</v>
      </c>
      <c r="K26" s="787">
        <f t="shared" si="2"/>
        <v>97.679262040480396</v>
      </c>
      <c r="L26" s="787">
        <f t="shared" si="2"/>
        <v>0</v>
      </c>
      <c r="M26" s="787">
        <f t="shared" si="2"/>
        <v>0</v>
      </c>
      <c r="N26" s="787">
        <f t="shared" si="2"/>
        <v>0</v>
      </c>
      <c r="O26" s="787">
        <f t="shared" si="2"/>
        <v>0</v>
      </c>
      <c r="P26" s="787">
        <f t="shared" si="2"/>
        <v>0</v>
      </c>
      <c r="Q26" s="787">
        <f t="shared" si="2"/>
        <v>0</v>
      </c>
      <c r="R26" s="787">
        <f t="shared" si="2"/>
        <v>47761.201270267164</v>
      </c>
      <c r="S26" s="67"/>
    </row>
    <row r="27" spans="1:19" s="448" customFormat="1" ht="17.25" thickTop="1" thickBot="1">
      <c r="A27" s="681" t="s">
        <v>115</v>
      </c>
      <c r="B27" s="780"/>
      <c r="C27" s="682">
        <f ca="1">C22+C16+C26</f>
        <v>375813.93666618242</v>
      </c>
      <c r="D27" s="682">
        <f t="shared" ref="D27:R27" ca="1" si="3">D22+D16+D26</f>
        <v>321.42857142857144</v>
      </c>
      <c r="E27" s="682">
        <f t="shared" ca="1" si="3"/>
        <v>483413.49808874732</v>
      </c>
      <c r="F27" s="682">
        <f t="shared" si="3"/>
        <v>17168.09267779216</v>
      </c>
      <c r="G27" s="682">
        <f t="shared" ca="1" si="3"/>
        <v>69611.630374260436</v>
      </c>
      <c r="H27" s="682">
        <f t="shared" si="3"/>
        <v>189576.65391996564</v>
      </c>
      <c r="I27" s="682">
        <f t="shared" si="3"/>
        <v>31413.464375890646</v>
      </c>
      <c r="J27" s="682">
        <f t="shared" si="3"/>
        <v>0</v>
      </c>
      <c r="K27" s="682">
        <f t="shared" si="3"/>
        <v>548.41535435392757</v>
      </c>
      <c r="L27" s="682">
        <f t="shared" si="3"/>
        <v>0</v>
      </c>
      <c r="M27" s="682">
        <f t="shared" ca="1" si="3"/>
        <v>0</v>
      </c>
      <c r="N27" s="682">
        <f t="shared" si="3"/>
        <v>11941.888625472855</v>
      </c>
      <c r="O27" s="682">
        <f t="shared" ca="1" si="3"/>
        <v>39109.007661111602</v>
      </c>
      <c r="P27" s="682">
        <f t="shared" si="3"/>
        <v>303.28666666666669</v>
      </c>
      <c r="Q27" s="682">
        <f t="shared" si="3"/>
        <v>1144</v>
      </c>
      <c r="R27" s="682">
        <f t="shared" ca="1" si="3"/>
        <v>1220365.3029818723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33753.096721107453</v>
      </c>
      <c r="D40" s="991">
        <f ca="1">tertiair!C20</f>
        <v>76.386554621848759</v>
      </c>
      <c r="E40" s="991">
        <f ca="1">tertiair!D20</f>
        <v>31168.881636540373</v>
      </c>
      <c r="F40" s="991">
        <f>tertiair!E20</f>
        <v>405.41482272005516</v>
      </c>
      <c r="G40" s="991">
        <f ca="1">tertiair!F20</f>
        <v>6453.4526982010457</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71857.232433190788</v>
      </c>
    </row>
    <row r="41" spans="1:18">
      <c r="A41" s="797" t="s">
        <v>224</v>
      </c>
      <c r="B41" s="804"/>
      <c r="C41" s="991">
        <f ca="1">huishoudens!B12</f>
        <v>30297.080553537831</v>
      </c>
      <c r="D41" s="991">
        <f ca="1">huishoudens!C12</f>
        <v>0</v>
      </c>
      <c r="E41" s="991">
        <f>huishoudens!D12</f>
        <v>48112.039403809431</v>
      </c>
      <c r="F41" s="991">
        <f>huishoudens!E12</f>
        <v>2430.0091737424373</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80839.129131089692</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13514.846541501684</v>
      </c>
      <c r="D43" s="991">
        <f ca="1">industrie!C22</f>
        <v>0</v>
      </c>
      <c r="E43" s="991">
        <f>industrie!D22</f>
        <v>11692.31735240775</v>
      </c>
      <c r="F43" s="991">
        <f>industrie!E22</f>
        <v>944.40072949807427</v>
      </c>
      <c r="G43" s="991">
        <f>industrie!F22</f>
        <v>11701.241180884104</v>
      </c>
      <c r="H43" s="991">
        <f>industrie!G22</f>
        <v>0</v>
      </c>
      <c r="I43" s="991">
        <f>industrie!H22</f>
        <v>0</v>
      </c>
      <c r="J43" s="991">
        <f>industrie!I22</f>
        <v>0</v>
      </c>
      <c r="K43" s="991">
        <f>industrie!J22</f>
        <v>159.5605766789603</v>
      </c>
      <c r="L43" s="991">
        <f>industrie!K22</f>
        <v>0</v>
      </c>
      <c r="M43" s="991">
        <f>industrie!L22</f>
        <v>0</v>
      </c>
      <c r="N43" s="991">
        <f>industrie!M22</f>
        <v>0</v>
      </c>
      <c r="O43" s="991">
        <f>industrie!N22</f>
        <v>0</v>
      </c>
      <c r="P43" s="991">
        <f>industrie!O22</f>
        <v>0</v>
      </c>
      <c r="Q43" s="749">
        <f>industrie!P22</f>
        <v>0</v>
      </c>
      <c r="R43" s="824">
        <f t="shared" ca="1" si="4"/>
        <v>38012.366380970569</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77565.023816146975</v>
      </c>
      <c r="D46" s="707">
        <f t="shared" ref="D46:Q46" ca="1" si="5">SUM(D39:D45)</f>
        <v>76.386554621848759</v>
      </c>
      <c r="E46" s="707">
        <f t="shared" ca="1" si="5"/>
        <v>90973.238392757543</v>
      </c>
      <c r="F46" s="707">
        <f t="shared" si="5"/>
        <v>3779.8247259605669</v>
      </c>
      <c r="G46" s="707">
        <f t="shared" ca="1" si="5"/>
        <v>18154.693879085149</v>
      </c>
      <c r="H46" s="707">
        <f t="shared" si="5"/>
        <v>0</v>
      </c>
      <c r="I46" s="707">
        <f t="shared" si="5"/>
        <v>0</v>
      </c>
      <c r="J46" s="707">
        <f t="shared" si="5"/>
        <v>0</v>
      </c>
      <c r="K46" s="707">
        <f t="shared" si="5"/>
        <v>159.5605766789603</v>
      </c>
      <c r="L46" s="707">
        <f t="shared" si="5"/>
        <v>0</v>
      </c>
      <c r="M46" s="707">
        <f t="shared" ca="1" si="5"/>
        <v>0</v>
      </c>
      <c r="N46" s="707">
        <f t="shared" si="5"/>
        <v>0</v>
      </c>
      <c r="O46" s="707">
        <f t="shared" ca="1" si="5"/>
        <v>0</v>
      </c>
      <c r="P46" s="707">
        <f t="shared" si="5"/>
        <v>0</v>
      </c>
      <c r="Q46" s="707">
        <f t="shared" si="5"/>
        <v>0</v>
      </c>
      <c r="R46" s="707">
        <f ca="1">SUM(R39:R45)</f>
        <v>190708.72794525104</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382.62642199054102</v>
      </c>
      <c r="D49" s="991">
        <f ca="1">transport!C58</f>
        <v>0</v>
      </c>
      <c r="E49" s="991">
        <f>transport!D58</f>
        <v>0</v>
      </c>
      <c r="F49" s="991">
        <f>transport!E58</f>
        <v>0</v>
      </c>
      <c r="G49" s="991">
        <f>transport!F58</f>
        <v>0</v>
      </c>
      <c r="H49" s="991">
        <f>transport!G58</f>
        <v>2417.5251933044378</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2800.1516152949789</v>
      </c>
    </row>
    <row r="50" spans="1:18">
      <c r="A50" s="800" t="s">
        <v>306</v>
      </c>
      <c r="B50" s="810"/>
      <c r="C50" s="678">
        <f ca="1">transport!B18</f>
        <v>5.5170072989761572</v>
      </c>
      <c r="D50" s="678">
        <f>transport!C18</f>
        <v>0</v>
      </c>
      <c r="E50" s="678">
        <f>transport!D18</f>
        <v>10.388893321532239</v>
      </c>
      <c r="F50" s="678">
        <f>transport!E18</f>
        <v>115.99270038059112</v>
      </c>
      <c r="G50" s="678">
        <f>transport!F18</f>
        <v>0</v>
      </c>
      <c r="H50" s="678">
        <f>transport!G18</f>
        <v>48199.441403326389</v>
      </c>
      <c r="I50" s="678">
        <f>transport!H18</f>
        <v>7821.9526295967707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56153.292633924262</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388.1434292895172</v>
      </c>
      <c r="D52" s="707">
        <f t="shared" ref="D52:Q52" ca="1" si="6">SUM(D48:D51)</f>
        <v>0</v>
      </c>
      <c r="E52" s="707">
        <f t="shared" si="6"/>
        <v>10.388893321532239</v>
      </c>
      <c r="F52" s="707">
        <f t="shared" si="6"/>
        <v>115.99270038059112</v>
      </c>
      <c r="G52" s="707">
        <f t="shared" si="6"/>
        <v>0</v>
      </c>
      <c r="H52" s="707">
        <f t="shared" si="6"/>
        <v>50616.966596630824</v>
      </c>
      <c r="I52" s="707">
        <f t="shared" si="6"/>
        <v>7821.9526295967707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58953.444249219239</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136.90780236425803</v>
      </c>
      <c r="D54" s="678">
        <f ca="1">+landbouw!C12</f>
        <v>0</v>
      </c>
      <c r="E54" s="678">
        <f>+landbouw!D12</f>
        <v>84.781659381904774</v>
      </c>
      <c r="F54" s="678">
        <f>+landbouw!E12</f>
        <v>1.3396115176635102</v>
      </c>
      <c r="G54" s="678">
        <f>+landbouw!F12</f>
        <v>431.6114308423895</v>
      </c>
      <c r="H54" s="678">
        <f>+landbouw!G12</f>
        <v>0</v>
      </c>
      <c r="I54" s="678">
        <f>+landbouw!H12</f>
        <v>0</v>
      </c>
      <c r="J54" s="678">
        <f>+landbouw!I12</f>
        <v>0</v>
      </c>
      <c r="K54" s="678">
        <f>+landbouw!J12</f>
        <v>34.578458762330058</v>
      </c>
      <c r="L54" s="678">
        <f>+landbouw!K12</f>
        <v>0</v>
      </c>
      <c r="M54" s="678">
        <f>+landbouw!L12</f>
        <v>0</v>
      </c>
      <c r="N54" s="678">
        <f>+landbouw!M12</f>
        <v>0</v>
      </c>
      <c r="O54" s="678">
        <f>+landbouw!N12</f>
        <v>0</v>
      </c>
      <c r="P54" s="678">
        <f>+landbouw!O12</f>
        <v>0</v>
      </c>
      <c r="Q54" s="679">
        <f>+landbouw!P12</f>
        <v>0</v>
      </c>
      <c r="R54" s="706">
        <f ca="1">SUM(C54:Q54)</f>
        <v>689.21896286854576</v>
      </c>
    </row>
    <row r="55" spans="1:18" ht="15" thickBot="1">
      <c r="A55" s="800" t="s">
        <v>849</v>
      </c>
      <c r="B55" s="810"/>
      <c r="C55" s="678">
        <f ca="1">C25*'EF ele_warmte'!B12</f>
        <v>2665.4937723339667</v>
      </c>
      <c r="D55" s="678"/>
      <c r="E55" s="678">
        <f>E25*EF_CO2_aardgas</f>
        <v>6581.1176684659813</v>
      </c>
      <c r="F55" s="678"/>
      <c r="G55" s="678"/>
      <c r="H55" s="678"/>
      <c r="I55" s="678"/>
      <c r="J55" s="678"/>
      <c r="K55" s="678"/>
      <c r="L55" s="678"/>
      <c r="M55" s="678"/>
      <c r="N55" s="678"/>
      <c r="O55" s="678"/>
      <c r="P55" s="678"/>
      <c r="Q55" s="679"/>
      <c r="R55" s="706">
        <f ca="1">SUM(C55:Q55)</f>
        <v>9246.6114407999485</v>
      </c>
    </row>
    <row r="56" spans="1:18" ht="15.75" thickBot="1">
      <c r="A56" s="798" t="s">
        <v>850</v>
      </c>
      <c r="B56" s="811"/>
      <c r="C56" s="707">
        <f ca="1">SUM(C54:C55)</f>
        <v>2802.401574698225</v>
      </c>
      <c r="D56" s="707">
        <f t="shared" ref="D56:Q56" ca="1" si="7">SUM(D54:D55)</f>
        <v>0</v>
      </c>
      <c r="E56" s="707">
        <f t="shared" si="7"/>
        <v>6665.8993278478865</v>
      </c>
      <c r="F56" s="707">
        <f t="shared" si="7"/>
        <v>1.3396115176635102</v>
      </c>
      <c r="G56" s="707">
        <f t="shared" si="7"/>
        <v>431.6114308423895</v>
      </c>
      <c r="H56" s="707">
        <f t="shared" si="7"/>
        <v>0</v>
      </c>
      <c r="I56" s="707">
        <f t="shared" si="7"/>
        <v>0</v>
      </c>
      <c r="J56" s="707">
        <f t="shared" si="7"/>
        <v>0</v>
      </c>
      <c r="K56" s="707">
        <f t="shared" si="7"/>
        <v>34.578458762330058</v>
      </c>
      <c r="L56" s="707">
        <f t="shared" si="7"/>
        <v>0</v>
      </c>
      <c r="M56" s="707">
        <f t="shared" si="7"/>
        <v>0</v>
      </c>
      <c r="N56" s="707">
        <f t="shared" si="7"/>
        <v>0</v>
      </c>
      <c r="O56" s="707">
        <f t="shared" si="7"/>
        <v>0</v>
      </c>
      <c r="P56" s="707">
        <f t="shared" si="7"/>
        <v>0</v>
      </c>
      <c r="Q56" s="708">
        <f t="shared" si="7"/>
        <v>0</v>
      </c>
      <c r="R56" s="709">
        <f ca="1">SUM(R54:R55)</f>
        <v>9935.8304036684949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80755.568820134707</v>
      </c>
      <c r="D61" s="715">
        <f t="shared" ref="D61:Q61" ca="1" si="8">D46+D52+D56</f>
        <v>76.386554621848759</v>
      </c>
      <c r="E61" s="715">
        <f t="shared" ca="1" si="8"/>
        <v>97649.526613926966</v>
      </c>
      <c r="F61" s="715">
        <f t="shared" si="8"/>
        <v>3897.1570378588212</v>
      </c>
      <c r="G61" s="715">
        <f t="shared" ca="1" si="8"/>
        <v>18586.305309927538</v>
      </c>
      <c r="H61" s="715">
        <f t="shared" si="8"/>
        <v>50616.966596630824</v>
      </c>
      <c r="I61" s="715">
        <f t="shared" si="8"/>
        <v>7821.9526295967707</v>
      </c>
      <c r="J61" s="715">
        <f t="shared" si="8"/>
        <v>0</v>
      </c>
      <c r="K61" s="715">
        <f t="shared" si="8"/>
        <v>194.13903544129036</v>
      </c>
      <c r="L61" s="715">
        <f t="shared" si="8"/>
        <v>0</v>
      </c>
      <c r="M61" s="715">
        <f t="shared" ca="1" si="8"/>
        <v>0</v>
      </c>
      <c r="N61" s="715">
        <f t="shared" si="8"/>
        <v>0</v>
      </c>
      <c r="O61" s="715">
        <f t="shared" ca="1" si="8"/>
        <v>0</v>
      </c>
      <c r="P61" s="715">
        <f t="shared" si="8"/>
        <v>0</v>
      </c>
      <c r="Q61" s="715">
        <f t="shared" si="8"/>
        <v>0</v>
      </c>
      <c r="R61" s="715">
        <f ca="1">R46+R52+R56</f>
        <v>259598.00259813876</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0.21488178308795935</v>
      </c>
      <c r="D63" s="756">
        <f t="shared" ca="1" si="9"/>
        <v>0.23764705882352946</v>
      </c>
      <c r="E63" s="1002">
        <f t="shared" ca="1" si="9"/>
        <v>0.20200000000000001</v>
      </c>
      <c r="F63" s="756">
        <f t="shared" si="9"/>
        <v>0.22700000000000006</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10421.07136347015</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225</v>
      </c>
      <c r="D76" s="1012">
        <f>'lokale energieproductie'!C8</f>
        <v>264.70588235294116</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53.470588235294116</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10421.07136347015</v>
      </c>
      <c r="C78" s="730">
        <f>SUM(C72:C77)</f>
        <v>225</v>
      </c>
      <c r="D78" s="731">
        <f t="shared" ref="D78:H78" si="10">SUM(D76:D77)</f>
        <v>264.70588235294116</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53.470588235294116</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321.42857142857144</v>
      </c>
      <c r="D87" s="752">
        <f>'lokale energieproductie'!C17</f>
        <v>378.15126050420173</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76.386554621848759</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321.42857142857144</v>
      </c>
      <c r="D90" s="730">
        <f t="shared" ref="D90:H90" si="12">SUM(D87:D89)</f>
        <v>378.15126050420173</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76.386554621848759</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140994.17883709609</v>
      </c>
      <c r="C4" s="452">
        <f>huishoudens!C8</f>
        <v>0</v>
      </c>
      <c r="D4" s="452">
        <f>huishoudens!D8</f>
        <v>238178.41289014567</v>
      </c>
      <c r="E4" s="452">
        <f>huishoudens!E8</f>
        <v>10704.886227940251</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9896.8484314434627</v>
      </c>
      <c r="O4" s="452">
        <f>huishoudens!O8</f>
        <v>295.47000000000003</v>
      </c>
      <c r="P4" s="453">
        <f>huishoudens!P8</f>
        <v>896.13333333333333</v>
      </c>
      <c r="Q4" s="454">
        <f>SUM(B4:P4)</f>
        <v>400965.9297199588</v>
      </c>
    </row>
    <row r="5" spans="1:17">
      <c r="A5" s="451" t="s">
        <v>155</v>
      </c>
      <c r="B5" s="452">
        <f ca="1">tertiair!B16</f>
        <v>153045.62499999997</v>
      </c>
      <c r="C5" s="452">
        <f ca="1">tertiair!C16</f>
        <v>321.42857142857144</v>
      </c>
      <c r="D5" s="452">
        <f ca="1">tertiair!D16</f>
        <v>154301.39424029886</v>
      </c>
      <c r="E5" s="452">
        <f>tertiair!E16</f>
        <v>1785.9683820266746</v>
      </c>
      <c r="F5" s="452">
        <f ca="1">tertiair!F16</f>
        <v>24170.234824723015</v>
      </c>
      <c r="G5" s="452">
        <f>tertiair!G16</f>
        <v>0</v>
      </c>
      <c r="H5" s="452">
        <f>tertiair!H16</f>
        <v>0</v>
      </c>
      <c r="I5" s="452">
        <f>tertiair!I16</f>
        <v>0</v>
      </c>
      <c r="J5" s="452">
        <f>tertiair!J16</f>
        <v>0</v>
      </c>
      <c r="K5" s="452">
        <f>tertiair!K16</f>
        <v>0</v>
      </c>
      <c r="L5" s="452">
        <f ca="1">tertiair!L16</f>
        <v>0</v>
      </c>
      <c r="M5" s="452">
        <f>tertiair!M16</f>
        <v>0</v>
      </c>
      <c r="N5" s="452">
        <f ca="1">tertiair!N16</f>
        <v>19128.695342783703</v>
      </c>
      <c r="O5" s="452">
        <f>tertiair!O16</f>
        <v>7.8166666666666664</v>
      </c>
      <c r="P5" s="453">
        <f>tertiair!P16</f>
        <v>247.86666666666667</v>
      </c>
      <c r="Q5" s="451">
        <f t="shared" ref="Q5:Q14" ca="1" si="0">SUM(B5:P5)</f>
        <v>353009.02969459409</v>
      </c>
    </row>
    <row r="6" spans="1:17">
      <c r="A6" s="451" t="s">
        <v>193</v>
      </c>
      <c r="B6" s="452">
        <f>'openbare verlichting'!B8</f>
        <v>4031.8910000000001</v>
      </c>
      <c r="C6" s="452"/>
      <c r="D6" s="452"/>
      <c r="E6" s="452"/>
      <c r="F6" s="452"/>
      <c r="G6" s="452"/>
      <c r="H6" s="452"/>
      <c r="I6" s="452"/>
      <c r="J6" s="452"/>
      <c r="K6" s="452"/>
      <c r="L6" s="452"/>
      <c r="M6" s="452"/>
      <c r="N6" s="452"/>
      <c r="O6" s="452"/>
      <c r="P6" s="453"/>
      <c r="Q6" s="451">
        <f t="shared" si="0"/>
        <v>4031.8910000000001</v>
      </c>
    </row>
    <row r="7" spans="1:17">
      <c r="A7" s="451" t="s">
        <v>111</v>
      </c>
      <c r="B7" s="452">
        <f>landbouw!B8</f>
        <v>637.13080000000002</v>
      </c>
      <c r="C7" s="452">
        <f>landbouw!C8</f>
        <v>0</v>
      </c>
      <c r="D7" s="452">
        <f>landbouw!D8</f>
        <v>419.71118505893452</v>
      </c>
      <c r="E7" s="452">
        <f>landbouw!E8</f>
        <v>5.9013723245088556</v>
      </c>
      <c r="F7" s="452">
        <f>landbouw!F8</f>
        <v>1616.5222128928444</v>
      </c>
      <c r="G7" s="452">
        <f>landbouw!G8</f>
        <v>0</v>
      </c>
      <c r="H7" s="452">
        <f>landbouw!H8</f>
        <v>0</v>
      </c>
      <c r="I7" s="452">
        <f>landbouw!I8</f>
        <v>0</v>
      </c>
      <c r="J7" s="452">
        <f>landbouw!J8</f>
        <v>97.679262040480396</v>
      </c>
      <c r="K7" s="452">
        <f>landbouw!K8</f>
        <v>0</v>
      </c>
      <c r="L7" s="452">
        <f>landbouw!L8</f>
        <v>0</v>
      </c>
      <c r="M7" s="452">
        <f>landbouw!M8</f>
        <v>0</v>
      </c>
      <c r="N7" s="452">
        <f>landbouw!N8</f>
        <v>0</v>
      </c>
      <c r="O7" s="452">
        <f>landbouw!O8</f>
        <v>0</v>
      </c>
      <c r="P7" s="453">
        <f>landbouw!P8</f>
        <v>0</v>
      </c>
      <c r="Q7" s="451">
        <f t="shared" si="0"/>
        <v>2776.944832316768</v>
      </c>
    </row>
    <row r="8" spans="1:17">
      <c r="A8" s="451" t="s">
        <v>649</v>
      </c>
      <c r="B8" s="452">
        <f>industrie!B18</f>
        <v>62894.333560000006</v>
      </c>
      <c r="C8" s="452">
        <f>industrie!C18</f>
        <v>0</v>
      </c>
      <c r="D8" s="452">
        <f>industrie!D18</f>
        <v>57882.759170335397</v>
      </c>
      <c r="E8" s="452">
        <f>industrie!E18</f>
        <v>4160.3556365553932</v>
      </c>
      <c r="F8" s="452">
        <f>industrie!F18</f>
        <v>43824.873336644581</v>
      </c>
      <c r="G8" s="452">
        <f>industrie!G18</f>
        <v>0</v>
      </c>
      <c r="H8" s="452">
        <f>industrie!H18</f>
        <v>0</v>
      </c>
      <c r="I8" s="452">
        <f>industrie!I18</f>
        <v>0</v>
      </c>
      <c r="J8" s="452">
        <f>industrie!J18</f>
        <v>450.73609231344722</v>
      </c>
      <c r="K8" s="452">
        <f>industrie!K18</f>
        <v>0</v>
      </c>
      <c r="L8" s="452">
        <f>industrie!L18</f>
        <v>0</v>
      </c>
      <c r="M8" s="452">
        <f>industrie!M18</f>
        <v>0</v>
      </c>
      <c r="N8" s="452">
        <f>industrie!N18</f>
        <v>10083.463886884432</v>
      </c>
      <c r="O8" s="452">
        <f>industrie!O18</f>
        <v>0</v>
      </c>
      <c r="P8" s="453">
        <f>industrie!P18</f>
        <v>0</v>
      </c>
      <c r="Q8" s="451">
        <f t="shared" si="0"/>
        <v>179296.52168273326</v>
      </c>
    </row>
    <row r="9" spans="1:17" s="457" customFormat="1">
      <c r="A9" s="455" t="s">
        <v>570</v>
      </c>
      <c r="B9" s="456">
        <f>transport!B14</f>
        <v>25.674616152630467</v>
      </c>
      <c r="C9" s="456">
        <f>transport!C14</f>
        <v>0</v>
      </c>
      <c r="D9" s="456">
        <f>transport!D14</f>
        <v>51.430164958080383</v>
      </c>
      <c r="E9" s="456">
        <f>transport!E14</f>
        <v>510.98105894533529</v>
      </c>
      <c r="F9" s="456">
        <f>transport!F14</f>
        <v>0</v>
      </c>
      <c r="G9" s="456">
        <f>transport!G14</f>
        <v>180522.25244691531</v>
      </c>
      <c r="H9" s="456">
        <f>transport!H14</f>
        <v>31413.464375890646</v>
      </c>
      <c r="I9" s="456">
        <f>transport!I14</f>
        <v>0</v>
      </c>
      <c r="J9" s="456">
        <f>transport!J14</f>
        <v>0</v>
      </c>
      <c r="K9" s="456">
        <f>transport!K14</f>
        <v>0</v>
      </c>
      <c r="L9" s="456">
        <f>transport!L14</f>
        <v>0</v>
      </c>
      <c r="M9" s="456">
        <f>transport!M14</f>
        <v>11424.366596226495</v>
      </c>
      <c r="N9" s="456">
        <f>transport!N14</f>
        <v>0</v>
      </c>
      <c r="O9" s="456">
        <f>transport!O14</f>
        <v>0</v>
      </c>
      <c r="P9" s="456">
        <f>transport!P14</f>
        <v>0</v>
      </c>
      <c r="Q9" s="455">
        <f>SUM(B9:P9)</f>
        <v>223948.16925908849</v>
      </c>
    </row>
    <row r="10" spans="1:17">
      <c r="A10" s="451" t="s">
        <v>560</v>
      </c>
      <c r="B10" s="452">
        <f>transport!B54</f>
        <v>1780.6368529337703</v>
      </c>
      <c r="C10" s="452">
        <f>transport!C54</f>
        <v>0</v>
      </c>
      <c r="D10" s="452">
        <f>transport!D54</f>
        <v>0</v>
      </c>
      <c r="E10" s="452">
        <f>transport!E54</f>
        <v>0</v>
      </c>
      <c r="F10" s="452">
        <f>transport!F54</f>
        <v>0</v>
      </c>
      <c r="G10" s="452">
        <f>transport!G54</f>
        <v>9054.4014730503277</v>
      </c>
      <c r="H10" s="452">
        <f>transport!H54</f>
        <v>0</v>
      </c>
      <c r="I10" s="452">
        <f>transport!I54</f>
        <v>0</v>
      </c>
      <c r="J10" s="452">
        <f>transport!J54</f>
        <v>0</v>
      </c>
      <c r="K10" s="452">
        <f>transport!K54</f>
        <v>0</v>
      </c>
      <c r="L10" s="452">
        <f>transport!L54</f>
        <v>0</v>
      </c>
      <c r="M10" s="452">
        <f>transport!M54</f>
        <v>517.52202924636015</v>
      </c>
      <c r="N10" s="452">
        <f>transport!N54</f>
        <v>0</v>
      </c>
      <c r="O10" s="452">
        <f>transport!O54</f>
        <v>0</v>
      </c>
      <c r="P10" s="453">
        <f>transport!P54</f>
        <v>0</v>
      </c>
      <c r="Q10" s="451">
        <f t="shared" si="0"/>
        <v>11352.560355230458</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12404.465999999999</v>
      </c>
      <c r="C14" s="459"/>
      <c r="D14" s="459">
        <f>'SEAP template'!E25</f>
        <v>32579.7904379504</v>
      </c>
      <c r="E14" s="459"/>
      <c r="F14" s="459"/>
      <c r="G14" s="459"/>
      <c r="H14" s="459"/>
      <c r="I14" s="459"/>
      <c r="J14" s="459"/>
      <c r="K14" s="459"/>
      <c r="L14" s="459"/>
      <c r="M14" s="459"/>
      <c r="N14" s="459"/>
      <c r="O14" s="459"/>
      <c r="P14" s="460"/>
      <c r="Q14" s="451">
        <f t="shared" si="0"/>
        <v>44984.256437950397</v>
      </c>
    </row>
    <row r="15" spans="1:17" s="461" customFormat="1">
      <c r="A15" s="1017" t="s">
        <v>564</v>
      </c>
      <c r="B15" s="957">
        <f ca="1">SUM(B4:B14)</f>
        <v>375813.93666618253</v>
      </c>
      <c r="C15" s="957">
        <f t="shared" ref="C15:Q15" ca="1" si="1">SUM(C4:C14)</f>
        <v>321.42857142857144</v>
      </c>
      <c r="D15" s="957">
        <f t="shared" ca="1" si="1"/>
        <v>483413.49808874732</v>
      </c>
      <c r="E15" s="957">
        <f t="shared" si="1"/>
        <v>17168.09267779216</v>
      </c>
      <c r="F15" s="957">
        <f t="shared" ca="1" si="1"/>
        <v>69611.630374260436</v>
      </c>
      <c r="G15" s="957">
        <f t="shared" si="1"/>
        <v>189576.65391996564</v>
      </c>
      <c r="H15" s="957">
        <f t="shared" si="1"/>
        <v>31413.464375890646</v>
      </c>
      <c r="I15" s="957">
        <f t="shared" si="1"/>
        <v>0</v>
      </c>
      <c r="J15" s="957">
        <f t="shared" si="1"/>
        <v>548.41535435392757</v>
      </c>
      <c r="K15" s="957">
        <f t="shared" si="1"/>
        <v>0</v>
      </c>
      <c r="L15" s="957">
        <f t="shared" ca="1" si="1"/>
        <v>0</v>
      </c>
      <c r="M15" s="957">
        <f t="shared" si="1"/>
        <v>11941.888625472855</v>
      </c>
      <c r="N15" s="957">
        <f t="shared" ca="1" si="1"/>
        <v>39109.007661111602</v>
      </c>
      <c r="O15" s="957">
        <f t="shared" si="1"/>
        <v>303.28666666666669</v>
      </c>
      <c r="P15" s="957">
        <f t="shared" si="1"/>
        <v>1144</v>
      </c>
      <c r="Q15" s="957">
        <f t="shared" ca="1" si="1"/>
        <v>1220365.3029818721</v>
      </c>
    </row>
    <row r="17" spans="1:17">
      <c r="A17" s="462" t="s">
        <v>565</v>
      </c>
      <c r="B17" s="761">
        <f ca="1">huishoudens!B10</f>
        <v>0.21488178308795935</v>
      </c>
      <c r="C17" s="761">
        <f ca="1">huishoudens!C10</f>
        <v>0.23764705882352946</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30297.080553537831</v>
      </c>
      <c r="C22" s="452">
        <f t="shared" ref="C22:C32" ca="1" si="3">C4*$C$17</f>
        <v>0</v>
      </c>
      <c r="D22" s="452">
        <f t="shared" ref="D22:D32" si="4">D4*$D$17</f>
        <v>48112.039403809431</v>
      </c>
      <c r="E22" s="452">
        <f t="shared" ref="E22:E32" si="5">E4*$E$17</f>
        <v>2430.0091737424373</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80839.129131089692</v>
      </c>
    </row>
    <row r="23" spans="1:17">
      <c r="A23" s="451" t="s">
        <v>155</v>
      </c>
      <c r="B23" s="452">
        <f t="shared" ca="1" si="2"/>
        <v>32886.71679381116</v>
      </c>
      <c r="C23" s="452">
        <f t="shared" ca="1" si="3"/>
        <v>76.386554621848759</v>
      </c>
      <c r="D23" s="452">
        <f t="shared" ca="1" si="4"/>
        <v>31168.881636540373</v>
      </c>
      <c r="E23" s="452">
        <f t="shared" si="5"/>
        <v>405.41482272005516</v>
      </c>
      <c r="F23" s="452">
        <f t="shared" ca="1" si="6"/>
        <v>6453.4526982010457</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70990.852505894494</v>
      </c>
    </row>
    <row r="24" spans="1:17">
      <c r="A24" s="451" t="s">
        <v>193</v>
      </c>
      <c r="B24" s="452">
        <f t="shared" ca="1" si="2"/>
        <v>866.37992729629559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866.37992729629559</v>
      </c>
    </row>
    <row r="25" spans="1:17">
      <c r="A25" s="451" t="s">
        <v>111</v>
      </c>
      <c r="B25" s="452">
        <f t="shared" ca="1" si="2"/>
        <v>136.90780236425803</v>
      </c>
      <c r="C25" s="452">
        <f t="shared" ca="1" si="3"/>
        <v>0</v>
      </c>
      <c r="D25" s="452">
        <f t="shared" si="4"/>
        <v>84.781659381904774</v>
      </c>
      <c r="E25" s="452">
        <f t="shared" si="5"/>
        <v>1.3396115176635102</v>
      </c>
      <c r="F25" s="452">
        <f t="shared" si="6"/>
        <v>431.6114308423895</v>
      </c>
      <c r="G25" s="452">
        <f t="shared" si="7"/>
        <v>0</v>
      </c>
      <c r="H25" s="452">
        <f t="shared" si="8"/>
        <v>0</v>
      </c>
      <c r="I25" s="452">
        <f t="shared" si="9"/>
        <v>0</v>
      </c>
      <c r="J25" s="452">
        <f t="shared" si="10"/>
        <v>34.578458762330058</v>
      </c>
      <c r="K25" s="452">
        <f t="shared" si="11"/>
        <v>0</v>
      </c>
      <c r="L25" s="452">
        <f t="shared" si="12"/>
        <v>0</v>
      </c>
      <c r="M25" s="452">
        <f t="shared" si="13"/>
        <v>0</v>
      </c>
      <c r="N25" s="452">
        <f t="shared" si="14"/>
        <v>0</v>
      </c>
      <c r="O25" s="452">
        <f t="shared" si="15"/>
        <v>0</v>
      </c>
      <c r="P25" s="453">
        <f t="shared" si="16"/>
        <v>0</v>
      </c>
      <c r="Q25" s="451">
        <f t="shared" ca="1" si="17"/>
        <v>689.21896286854576</v>
      </c>
    </row>
    <row r="26" spans="1:17">
      <c r="A26" s="451" t="s">
        <v>649</v>
      </c>
      <c r="B26" s="452">
        <f t="shared" ca="1" si="2"/>
        <v>13514.846541501684</v>
      </c>
      <c r="C26" s="452">
        <f t="shared" ca="1" si="3"/>
        <v>0</v>
      </c>
      <c r="D26" s="452">
        <f t="shared" si="4"/>
        <v>11692.31735240775</v>
      </c>
      <c r="E26" s="452">
        <f t="shared" si="5"/>
        <v>944.40072949807427</v>
      </c>
      <c r="F26" s="452">
        <f t="shared" si="6"/>
        <v>11701.241180884104</v>
      </c>
      <c r="G26" s="452">
        <f t="shared" si="7"/>
        <v>0</v>
      </c>
      <c r="H26" s="452">
        <f t="shared" si="8"/>
        <v>0</v>
      </c>
      <c r="I26" s="452">
        <f t="shared" si="9"/>
        <v>0</v>
      </c>
      <c r="J26" s="452">
        <f t="shared" si="10"/>
        <v>159.5605766789603</v>
      </c>
      <c r="K26" s="452">
        <f t="shared" si="11"/>
        <v>0</v>
      </c>
      <c r="L26" s="452">
        <f t="shared" si="12"/>
        <v>0</v>
      </c>
      <c r="M26" s="452">
        <f t="shared" si="13"/>
        <v>0</v>
      </c>
      <c r="N26" s="452">
        <f t="shared" si="14"/>
        <v>0</v>
      </c>
      <c r="O26" s="452">
        <f t="shared" si="15"/>
        <v>0</v>
      </c>
      <c r="P26" s="453">
        <f t="shared" si="16"/>
        <v>0</v>
      </c>
      <c r="Q26" s="451">
        <f t="shared" ca="1" si="17"/>
        <v>38012.366380970569</v>
      </c>
    </row>
    <row r="27" spans="1:17" s="457" customFormat="1">
      <c r="A27" s="455" t="s">
        <v>570</v>
      </c>
      <c r="B27" s="755">
        <f t="shared" ca="1" si="2"/>
        <v>5.5170072989761572</v>
      </c>
      <c r="C27" s="456">
        <f t="shared" ca="1" si="3"/>
        <v>0</v>
      </c>
      <c r="D27" s="456">
        <f t="shared" si="4"/>
        <v>10.388893321532239</v>
      </c>
      <c r="E27" s="456">
        <f t="shared" si="5"/>
        <v>115.99270038059112</v>
      </c>
      <c r="F27" s="456">
        <f t="shared" si="6"/>
        <v>0</v>
      </c>
      <c r="G27" s="456">
        <f t="shared" si="7"/>
        <v>48199.441403326389</v>
      </c>
      <c r="H27" s="456">
        <f t="shared" si="8"/>
        <v>7821.9526295967707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56153.292633924262</v>
      </c>
    </row>
    <row r="28" spans="1:17">
      <c r="A28" s="451" t="s">
        <v>560</v>
      </c>
      <c r="B28" s="452">
        <f t="shared" ca="1" si="2"/>
        <v>382.62642199054102</v>
      </c>
      <c r="C28" s="452">
        <f t="shared" ca="1" si="3"/>
        <v>0</v>
      </c>
      <c r="D28" s="452">
        <f t="shared" si="4"/>
        <v>0</v>
      </c>
      <c r="E28" s="452">
        <f t="shared" si="5"/>
        <v>0</v>
      </c>
      <c r="F28" s="452">
        <f t="shared" si="6"/>
        <v>0</v>
      </c>
      <c r="G28" s="452">
        <f t="shared" si="7"/>
        <v>2417.5251933044378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2800.1516152949789</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2665.4937723339667</v>
      </c>
      <c r="C32" s="452">
        <f t="shared" ca="1" si="3"/>
        <v>0</v>
      </c>
      <c r="D32" s="452">
        <f t="shared" si="4"/>
        <v>6581.1176684659813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9246.6114407999485</v>
      </c>
    </row>
    <row r="33" spans="1:17" s="461" customFormat="1">
      <c r="A33" s="1017" t="s">
        <v>564</v>
      </c>
      <c r="B33" s="957">
        <f ca="1">SUM(B22:B32)</f>
        <v>80755.568820134707</v>
      </c>
      <c r="C33" s="957">
        <f t="shared" ref="C33:Q33" ca="1" si="18">SUM(C22:C32)</f>
        <v>76.386554621848759</v>
      </c>
      <c r="D33" s="957">
        <f t="shared" ca="1" si="18"/>
        <v>97649.526613926966</v>
      </c>
      <c r="E33" s="957">
        <f t="shared" si="18"/>
        <v>3897.1570378588212</v>
      </c>
      <c r="F33" s="957">
        <f t="shared" ca="1" si="18"/>
        <v>18586.305309927538</v>
      </c>
      <c r="G33" s="957">
        <f t="shared" si="18"/>
        <v>50616.966596630824</v>
      </c>
      <c r="H33" s="957">
        <f t="shared" si="18"/>
        <v>7821.9526295967707</v>
      </c>
      <c r="I33" s="957">
        <f t="shared" si="18"/>
        <v>0</v>
      </c>
      <c r="J33" s="957">
        <f t="shared" si="18"/>
        <v>194.13903544129036</v>
      </c>
      <c r="K33" s="957">
        <f t="shared" si="18"/>
        <v>0</v>
      </c>
      <c r="L33" s="957">
        <f t="shared" ca="1" si="18"/>
        <v>0</v>
      </c>
      <c r="M33" s="957">
        <f t="shared" si="18"/>
        <v>0</v>
      </c>
      <c r="N33" s="957">
        <f t="shared" ca="1" si="18"/>
        <v>0</v>
      </c>
      <c r="O33" s="957">
        <f t="shared" si="18"/>
        <v>0</v>
      </c>
      <c r="P33" s="957">
        <f t="shared" si="18"/>
        <v>0</v>
      </c>
      <c r="Q33" s="957">
        <f t="shared" ca="1" si="18"/>
        <v>259598.00259813882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10421.07136347015</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225</v>
      </c>
      <c r="D8" s="1034">
        <f>'SEAP template'!D76</f>
        <v>264.70588235294116</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53.470588235294116</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10421.07136347015</v>
      </c>
      <c r="C10" s="1038">
        <f>SUM(C4:C9)</f>
        <v>225</v>
      </c>
      <c r="D10" s="1038">
        <f t="shared" ref="D10:H10" si="0">SUM(D8:D9)</f>
        <v>264.70588235294116</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53.470588235294116</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0.21488178308795935</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321.42857142857144</v>
      </c>
      <c r="D17" s="1035">
        <f>'SEAP template'!D87</f>
        <v>378.15126050420173</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76.386554621848759</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321.42857142857144</v>
      </c>
      <c r="D20" s="1038">
        <f t="shared" ref="D20:H20" si="2">SUM(D17:D19)</f>
        <v>378.15126050420173</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76.386554621848759</v>
      </c>
    </row>
    <row r="22" spans="1:16">
      <c r="A22" s="462" t="s">
        <v>873</v>
      </c>
      <c r="B22" s="761" t="s">
        <v>867</v>
      </c>
      <c r="C22" s="761">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0.21488178308795935</v>
      </c>
      <c r="C17" s="499">
        <f ca="1">'EF ele_warmte'!B22</f>
        <v>0.23764705882352946</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1</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1.5633333333333335</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0.21488178308795935</v>
      </c>
      <c r="C17" s="499">
        <f ca="1">'EF ele_warmte'!B22</f>
        <v>0.23764705882352946</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0.21488178308795935</v>
      </c>
      <c r="C29" s="500">
        <f ca="1">'EF ele_warmte'!B22</f>
        <v>0.23764705882352946</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36026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805</v>
      </c>
      <c r="C14" s="330"/>
      <c r="D14" s="330"/>
      <c r="E14" s="330"/>
      <c r="F14" s="330"/>
    </row>
    <row r="15" spans="1:6">
      <c r="A15" s="1305" t="s">
        <v>183</v>
      </c>
      <c r="B15" s="1306">
        <v>5</v>
      </c>
      <c r="C15" s="330"/>
      <c r="D15" s="330"/>
      <c r="E15" s="330"/>
      <c r="F15" s="330"/>
    </row>
    <row r="16" spans="1:6">
      <c r="A16" s="1305" t="s">
        <v>6</v>
      </c>
      <c r="B16" s="1306">
        <v>220</v>
      </c>
      <c r="C16" s="330"/>
      <c r="D16" s="330"/>
      <c r="E16" s="330"/>
      <c r="F16" s="330"/>
    </row>
    <row r="17" spans="1:6">
      <c r="A17" s="1305" t="s">
        <v>7</v>
      </c>
      <c r="B17" s="1306">
        <v>331</v>
      </c>
      <c r="C17" s="330"/>
      <c r="D17" s="330"/>
      <c r="E17" s="330"/>
      <c r="F17" s="330"/>
    </row>
    <row r="18" spans="1:6">
      <c r="A18" s="1305" t="s">
        <v>8</v>
      </c>
      <c r="B18" s="1306">
        <v>386</v>
      </c>
      <c r="C18" s="330"/>
      <c r="D18" s="330"/>
      <c r="E18" s="330"/>
      <c r="F18" s="330"/>
    </row>
    <row r="19" spans="1:6">
      <c r="A19" s="1305" t="s">
        <v>9</v>
      </c>
      <c r="B19" s="1306">
        <v>317</v>
      </c>
      <c r="C19" s="330"/>
      <c r="D19" s="330"/>
      <c r="E19" s="330"/>
      <c r="F19" s="330"/>
    </row>
    <row r="20" spans="1:6">
      <c r="A20" s="1305" t="s">
        <v>10</v>
      </c>
      <c r="B20" s="1306">
        <v>178</v>
      </c>
      <c r="C20" s="330"/>
      <c r="D20" s="330"/>
      <c r="E20" s="330"/>
      <c r="F20" s="330"/>
    </row>
    <row r="21" spans="1:6">
      <c r="A21" s="1305" t="s">
        <v>11</v>
      </c>
      <c r="B21" s="1306">
        <v>321</v>
      </c>
      <c r="C21" s="330"/>
      <c r="D21" s="330"/>
      <c r="E21" s="330"/>
      <c r="F21" s="330"/>
    </row>
    <row r="22" spans="1:6">
      <c r="A22" s="1305" t="s">
        <v>12</v>
      </c>
      <c r="B22" s="1306">
        <v>1368</v>
      </c>
      <c r="C22" s="330"/>
      <c r="D22" s="330"/>
      <c r="E22" s="330"/>
      <c r="F22" s="330"/>
    </row>
    <row r="23" spans="1:6">
      <c r="A23" s="1305" t="s">
        <v>13</v>
      </c>
      <c r="B23" s="1306">
        <v>20</v>
      </c>
      <c r="C23" s="330"/>
      <c r="D23" s="330"/>
      <c r="E23" s="330"/>
      <c r="F23" s="330"/>
    </row>
    <row r="24" spans="1:6">
      <c r="A24" s="1305" t="s">
        <v>14</v>
      </c>
      <c r="B24" s="1306">
        <v>1</v>
      </c>
      <c r="C24" s="330"/>
      <c r="D24" s="330"/>
      <c r="E24" s="330"/>
      <c r="F24" s="330"/>
    </row>
    <row r="25" spans="1:6">
      <c r="A25" s="1305" t="s">
        <v>15</v>
      </c>
      <c r="B25" s="1306">
        <v>104</v>
      </c>
      <c r="C25" s="330"/>
      <c r="D25" s="330"/>
      <c r="E25" s="330"/>
      <c r="F25" s="330"/>
    </row>
    <row r="26" spans="1:6">
      <c r="A26" s="1305" t="s">
        <v>16</v>
      </c>
      <c r="B26" s="1306">
        <v>135</v>
      </c>
      <c r="C26" s="330"/>
      <c r="D26" s="330"/>
      <c r="E26" s="330"/>
      <c r="F26" s="330"/>
    </row>
    <row r="27" spans="1:6">
      <c r="A27" s="1305" t="s">
        <v>17</v>
      </c>
      <c r="B27" s="1306">
        <v>5</v>
      </c>
      <c r="C27" s="330"/>
      <c r="D27" s="330"/>
      <c r="E27" s="330"/>
      <c r="F27" s="330"/>
    </row>
    <row r="28" spans="1:6" s="43" customFormat="1">
      <c r="A28" s="1307" t="s">
        <v>18</v>
      </c>
      <c r="B28" s="1308">
        <v>2</v>
      </c>
      <c r="C28" s="336"/>
      <c r="D28" s="336"/>
      <c r="E28" s="336"/>
      <c r="F28" s="336"/>
    </row>
    <row r="29" spans="1:6">
      <c r="A29" s="1307" t="s">
        <v>909</v>
      </c>
      <c r="B29" s="1308">
        <v>72</v>
      </c>
      <c r="C29" s="336"/>
      <c r="D29" s="336"/>
      <c r="E29" s="336"/>
      <c r="F29" s="336"/>
    </row>
    <row r="30" spans="1:6">
      <c r="A30" s="1300" t="s">
        <v>910</v>
      </c>
      <c r="B30" s="1309">
        <v>6</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4</v>
      </c>
      <c r="D36" s="1306">
        <v>9404999.2046448402</v>
      </c>
      <c r="E36" s="1306">
        <v>20</v>
      </c>
      <c r="F36" s="1306">
        <v>202544.3</v>
      </c>
    </row>
    <row r="37" spans="1:6">
      <c r="A37" s="1305" t="s">
        <v>24</v>
      </c>
      <c r="B37" s="1305" t="s">
        <v>27</v>
      </c>
      <c r="C37" s="1306">
        <v>0</v>
      </c>
      <c r="D37" s="1306">
        <v>0</v>
      </c>
      <c r="E37" s="1306">
        <v>0</v>
      </c>
      <c r="F37" s="1306">
        <v>0</v>
      </c>
    </row>
    <row r="38" spans="1:6">
      <c r="A38" s="1305" t="s">
        <v>24</v>
      </c>
      <c r="B38" s="1305" t="s">
        <v>28</v>
      </c>
      <c r="C38" s="1306">
        <v>2</v>
      </c>
      <c r="D38" s="1306">
        <v>264980.07695028</v>
      </c>
      <c r="E38" s="1306">
        <v>4</v>
      </c>
      <c r="F38" s="1306">
        <v>46286.06</v>
      </c>
    </row>
    <row r="39" spans="1:6">
      <c r="A39" s="1305" t="s">
        <v>29</v>
      </c>
      <c r="B39" s="1305" t="s">
        <v>30</v>
      </c>
      <c r="C39" s="1306">
        <v>25360</v>
      </c>
      <c r="D39" s="1306">
        <v>264032685.30548799</v>
      </c>
      <c r="E39" s="1306">
        <v>42756</v>
      </c>
      <c r="F39" s="1306">
        <v>136000000</v>
      </c>
    </row>
    <row r="40" spans="1:6">
      <c r="A40" s="1305" t="s">
        <v>29</v>
      </c>
      <c r="B40" s="1305" t="s">
        <v>28</v>
      </c>
      <c r="C40" s="1306">
        <v>1</v>
      </c>
      <c r="D40" s="1306">
        <v>23204.816624741401</v>
      </c>
      <c r="E40" s="1306">
        <v>3</v>
      </c>
      <c r="F40" s="1306">
        <v>26976</v>
      </c>
    </row>
    <row r="41" spans="1:6">
      <c r="A41" s="1305" t="s">
        <v>31</v>
      </c>
      <c r="B41" s="1305" t="s">
        <v>32</v>
      </c>
      <c r="C41" s="1306">
        <v>262</v>
      </c>
      <c r="D41" s="1306">
        <v>4025312.5470259199</v>
      </c>
      <c r="E41" s="1306">
        <v>575</v>
      </c>
      <c r="F41" s="1306">
        <v>8835246</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14</v>
      </c>
      <c r="D44" s="1306">
        <v>8917902.6435531192</v>
      </c>
      <c r="E44" s="1306">
        <v>59</v>
      </c>
      <c r="F44" s="1306">
        <v>12409517</v>
      </c>
    </row>
    <row r="45" spans="1:6">
      <c r="A45" s="1305" t="s">
        <v>31</v>
      </c>
      <c r="B45" s="1305" t="s">
        <v>36</v>
      </c>
      <c r="C45" s="1306">
        <v>0</v>
      </c>
      <c r="D45" s="1306">
        <v>0</v>
      </c>
      <c r="E45" s="1306">
        <v>3</v>
      </c>
      <c r="F45" s="1306">
        <v>754389.3</v>
      </c>
    </row>
    <row r="46" spans="1:6">
      <c r="A46" s="1305" t="s">
        <v>31</v>
      </c>
      <c r="B46" s="1305" t="s">
        <v>37</v>
      </c>
      <c r="C46" s="1306">
        <v>0</v>
      </c>
      <c r="D46" s="1306">
        <v>0</v>
      </c>
      <c r="E46" s="1306">
        <v>0</v>
      </c>
      <c r="F46" s="1306">
        <v>0</v>
      </c>
    </row>
    <row r="47" spans="1:6">
      <c r="A47" s="1305" t="s">
        <v>31</v>
      </c>
      <c r="B47" s="1305" t="s">
        <v>38</v>
      </c>
      <c r="C47" s="1306">
        <v>14</v>
      </c>
      <c r="D47" s="1306">
        <v>653131.92356140295</v>
      </c>
      <c r="E47" s="1306">
        <v>17</v>
      </c>
      <c r="F47" s="1306">
        <v>1466605</v>
      </c>
    </row>
    <row r="48" spans="1:6">
      <c r="A48" s="1305" t="s">
        <v>31</v>
      </c>
      <c r="B48" s="1305" t="s">
        <v>28</v>
      </c>
      <c r="C48" s="1306">
        <v>40</v>
      </c>
      <c r="D48" s="1306">
        <v>38209572.093786202</v>
      </c>
      <c r="E48" s="1306">
        <v>57</v>
      </c>
      <c r="F48" s="1306">
        <v>24923303</v>
      </c>
    </row>
    <row r="49" spans="1:6">
      <c r="A49" s="1305" t="s">
        <v>31</v>
      </c>
      <c r="B49" s="1305" t="s">
        <v>39</v>
      </c>
      <c r="C49" s="1306">
        <v>3</v>
      </c>
      <c r="D49" s="1306">
        <v>226130.444675568</v>
      </c>
      <c r="E49" s="1306">
        <v>7</v>
      </c>
      <c r="F49" s="1306">
        <v>87854.26</v>
      </c>
    </row>
    <row r="50" spans="1:6">
      <c r="A50" s="1305" t="s">
        <v>31</v>
      </c>
      <c r="B50" s="1305" t="s">
        <v>40</v>
      </c>
      <c r="C50" s="1306">
        <v>50</v>
      </c>
      <c r="D50" s="1306">
        <v>12139523.706971399</v>
      </c>
      <c r="E50" s="1306">
        <v>81</v>
      </c>
      <c r="F50" s="1306">
        <v>14417419</v>
      </c>
    </row>
    <row r="51" spans="1:6">
      <c r="A51" s="1305" t="s">
        <v>41</v>
      </c>
      <c r="B51" s="1305" t="s">
        <v>42</v>
      </c>
      <c r="C51" s="1306">
        <v>11</v>
      </c>
      <c r="D51" s="1306">
        <v>250108.65721709601</v>
      </c>
      <c r="E51" s="1306">
        <v>62</v>
      </c>
      <c r="F51" s="1306">
        <v>315689</v>
      </c>
    </row>
    <row r="52" spans="1:6">
      <c r="A52" s="1305" t="s">
        <v>41</v>
      </c>
      <c r="B52" s="1305" t="s">
        <v>28</v>
      </c>
      <c r="C52" s="1306">
        <v>12</v>
      </c>
      <c r="D52" s="1306">
        <v>215203.077881501</v>
      </c>
      <c r="E52" s="1306">
        <v>16</v>
      </c>
      <c r="F52" s="1306">
        <v>321441.8</v>
      </c>
    </row>
    <row r="53" spans="1:6">
      <c r="A53" s="1305" t="s">
        <v>43</v>
      </c>
      <c r="B53" s="1305" t="s">
        <v>44</v>
      </c>
      <c r="C53" s="1306">
        <v>1775</v>
      </c>
      <c r="D53" s="1306">
        <v>32579790.437950399</v>
      </c>
      <c r="E53" s="1306">
        <v>4289</v>
      </c>
      <c r="F53" s="1306">
        <v>12381238</v>
      </c>
    </row>
    <row r="54" spans="1:6">
      <c r="A54" s="1305" t="s">
        <v>45</v>
      </c>
      <c r="B54" s="1305" t="s">
        <v>46</v>
      </c>
      <c r="C54" s="1306">
        <v>0</v>
      </c>
      <c r="D54" s="1306">
        <v>0</v>
      </c>
      <c r="E54" s="1306">
        <v>153</v>
      </c>
      <c r="F54" s="1306">
        <v>4031891</v>
      </c>
    </row>
    <row r="55" spans="1:6">
      <c r="A55" s="1305" t="s">
        <v>45</v>
      </c>
      <c r="B55" s="1305" t="s">
        <v>28</v>
      </c>
      <c r="C55" s="1306">
        <v>0</v>
      </c>
      <c r="D55" s="1306">
        <v>0</v>
      </c>
      <c r="E55" s="1306">
        <v>0</v>
      </c>
      <c r="F55" s="1306">
        <v>0</v>
      </c>
    </row>
    <row r="56" spans="1:6">
      <c r="A56" s="1305" t="s">
        <v>47</v>
      </c>
      <c r="B56" s="1305" t="s">
        <v>28</v>
      </c>
      <c r="C56" s="1306">
        <v>0</v>
      </c>
      <c r="D56" s="1306">
        <v>0</v>
      </c>
      <c r="E56" s="1306">
        <v>1</v>
      </c>
      <c r="F56" s="1306">
        <v>23228</v>
      </c>
    </row>
    <row r="57" spans="1:6">
      <c r="A57" s="1305" t="s">
        <v>48</v>
      </c>
      <c r="B57" s="1305" t="s">
        <v>49</v>
      </c>
      <c r="C57" s="1306">
        <v>279</v>
      </c>
      <c r="D57" s="1306">
        <v>22275911.003483601</v>
      </c>
      <c r="E57" s="1306">
        <v>659</v>
      </c>
      <c r="F57" s="1306">
        <v>25699481</v>
      </c>
    </row>
    <row r="58" spans="1:6">
      <c r="A58" s="1305" t="s">
        <v>48</v>
      </c>
      <c r="B58" s="1305" t="s">
        <v>50</v>
      </c>
      <c r="C58" s="1306">
        <v>192</v>
      </c>
      <c r="D58" s="1306">
        <v>23097268.5883427</v>
      </c>
      <c r="E58" s="1306">
        <v>296</v>
      </c>
      <c r="F58" s="1306">
        <v>11574664</v>
      </c>
    </row>
    <row r="59" spans="1:6">
      <c r="A59" s="1305" t="s">
        <v>48</v>
      </c>
      <c r="B59" s="1305" t="s">
        <v>51</v>
      </c>
      <c r="C59" s="1306">
        <v>625</v>
      </c>
      <c r="D59" s="1306">
        <v>20877376.994858898</v>
      </c>
      <c r="E59" s="1306">
        <v>1364</v>
      </c>
      <c r="F59" s="1306">
        <v>44814019</v>
      </c>
    </row>
    <row r="60" spans="1:6">
      <c r="A60" s="1305" t="s">
        <v>48</v>
      </c>
      <c r="B60" s="1305" t="s">
        <v>52</v>
      </c>
      <c r="C60" s="1306">
        <v>480</v>
      </c>
      <c r="D60" s="1306">
        <v>28084928.398849402</v>
      </c>
      <c r="E60" s="1306">
        <v>692</v>
      </c>
      <c r="F60" s="1306">
        <v>25560108</v>
      </c>
    </row>
    <row r="61" spans="1:6">
      <c r="A61" s="1305" t="s">
        <v>48</v>
      </c>
      <c r="B61" s="1305" t="s">
        <v>53</v>
      </c>
      <c r="C61" s="1306">
        <v>996</v>
      </c>
      <c r="D61" s="1306">
        <v>58699562.891436398</v>
      </c>
      <c r="E61" s="1306">
        <v>3041</v>
      </c>
      <c r="F61" s="1306">
        <v>39554072</v>
      </c>
    </row>
    <row r="62" spans="1:6">
      <c r="A62" s="1305" t="s">
        <v>48</v>
      </c>
      <c r="B62" s="1305" t="s">
        <v>54</v>
      </c>
      <c r="C62" s="1306">
        <v>44</v>
      </c>
      <c r="D62" s="1306">
        <v>6747646.2478899397</v>
      </c>
      <c r="E62" s="1306">
        <v>63</v>
      </c>
      <c r="F62" s="1306">
        <v>3711517</v>
      </c>
    </row>
    <row r="63" spans="1:6">
      <c r="A63" s="1305" t="s">
        <v>48</v>
      </c>
      <c r="B63" s="1305" t="s">
        <v>28</v>
      </c>
      <c r="C63" s="1306">
        <v>96</v>
      </c>
      <c r="D63" s="1306">
        <v>11995855.080411799</v>
      </c>
      <c r="E63" s="1306">
        <v>75</v>
      </c>
      <c r="F63" s="1306">
        <v>1906764</v>
      </c>
    </row>
    <row r="64" spans="1:6">
      <c r="A64" s="1305" t="s">
        <v>55</v>
      </c>
      <c r="B64" s="1305" t="s">
        <v>56</v>
      </c>
      <c r="C64" s="1306">
        <v>0</v>
      </c>
      <c r="D64" s="1306">
        <v>0</v>
      </c>
      <c r="E64" s="1306">
        <v>0</v>
      </c>
      <c r="F64" s="1306">
        <v>0</v>
      </c>
    </row>
    <row r="65" spans="1:6">
      <c r="A65" s="1305" t="s">
        <v>55</v>
      </c>
      <c r="B65" s="1305" t="s">
        <v>28</v>
      </c>
      <c r="C65" s="1306">
        <v>5</v>
      </c>
      <c r="D65" s="1306">
        <v>108968.331153477</v>
      </c>
      <c r="E65" s="1306">
        <v>6</v>
      </c>
      <c r="F65" s="1306">
        <v>176504.7</v>
      </c>
    </row>
    <row r="66" spans="1:6">
      <c r="A66" s="1305" t="s">
        <v>55</v>
      </c>
      <c r="B66" s="1305" t="s">
        <v>57</v>
      </c>
      <c r="C66" s="1306">
        <v>4</v>
      </c>
      <c r="D66" s="1306">
        <v>1014597.42876202</v>
      </c>
      <c r="E66" s="1306">
        <v>50</v>
      </c>
      <c r="F66" s="1306">
        <v>2679666</v>
      </c>
    </row>
    <row r="67" spans="1:6">
      <c r="A67" s="1307" t="s">
        <v>55</v>
      </c>
      <c r="B67" s="1307" t="s">
        <v>58</v>
      </c>
      <c r="C67" s="1306">
        <v>0</v>
      </c>
      <c r="D67" s="1306">
        <v>0</v>
      </c>
      <c r="E67" s="1306">
        <v>0</v>
      </c>
      <c r="F67" s="1306">
        <v>0</v>
      </c>
    </row>
    <row r="68" spans="1:6">
      <c r="A68" s="1300" t="s">
        <v>55</v>
      </c>
      <c r="B68" s="1300" t="s">
        <v>59</v>
      </c>
      <c r="C68" s="1309">
        <v>13</v>
      </c>
      <c r="D68" s="1309">
        <v>2078243.8086574599</v>
      </c>
      <c r="E68" s="1309">
        <v>56</v>
      </c>
      <c r="F68" s="1309">
        <v>5747958</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136666584</v>
      </c>
      <c r="E73" s="450"/>
      <c r="F73" s="330"/>
    </row>
    <row r="74" spans="1:6">
      <c r="A74" s="1305" t="s">
        <v>63</v>
      </c>
      <c r="B74" s="1305" t="s">
        <v>710</v>
      </c>
      <c r="C74" s="1319" t="s">
        <v>712</v>
      </c>
      <c r="D74" s="1320">
        <v>15982581.963673612</v>
      </c>
      <c r="E74" s="450"/>
      <c r="F74" s="330"/>
    </row>
    <row r="75" spans="1:6">
      <c r="A75" s="1305" t="s">
        <v>64</v>
      </c>
      <c r="B75" s="1305" t="s">
        <v>709</v>
      </c>
      <c r="C75" s="1319" t="s">
        <v>713</v>
      </c>
      <c r="D75" s="1320">
        <v>46355505</v>
      </c>
      <c r="E75" s="450"/>
      <c r="F75" s="330"/>
    </row>
    <row r="76" spans="1:6">
      <c r="A76" s="1305" t="s">
        <v>64</v>
      </c>
      <c r="B76" s="1305" t="s">
        <v>710</v>
      </c>
      <c r="C76" s="1319" t="s">
        <v>714</v>
      </c>
      <c r="D76" s="1320">
        <v>5496620.963673613</v>
      </c>
      <c r="E76" s="450"/>
      <c r="F76" s="330"/>
    </row>
    <row r="77" spans="1:6">
      <c r="A77" s="1305" t="s">
        <v>65</v>
      </c>
      <c r="B77" s="1305" t="s">
        <v>709</v>
      </c>
      <c r="C77" s="1319" t="s">
        <v>715</v>
      </c>
      <c r="D77" s="1320">
        <v>43902049</v>
      </c>
      <c r="E77" s="450"/>
      <c r="F77" s="330"/>
    </row>
    <row r="78" spans="1:6">
      <c r="A78" s="1300" t="s">
        <v>65</v>
      </c>
      <c r="B78" s="1300" t="s">
        <v>710</v>
      </c>
      <c r="C78" s="1300" t="s">
        <v>716</v>
      </c>
      <c r="D78" s="1321">
        <v>2013145</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2570064.0726527744</v>
      </c>
      <c r="C83" s="450"/>
      <c r="D83" s="330"/>
      <c r="E83" s="330"/>
      <c r="F83" s="330"/>
    </row>
    <row r="84" spans="1:6">
      <c r="A84" s="1300" t="s">
        <v>336</v>
      </c>
      <c r="B84" s="1321">
        <v>505145.20650603418</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4967.2028370960961</v>
      </c>
      <c r="C91" s="330"/>
      <c r="D91" s="330"/>
      <c r="E91" s="330"/>
      <c r="F91" s="330"/>
    </row>
    <row r="92" spans="1:6">
      <c r="A92" s="1300" t="s">
        <v>68</v>
      </c>
      <c r="B92" s="1301">
        <v>5453.8685263740535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18029</v>
      </c>
      <c r="C97" s="330"/>
      <c r="D97" s="330"/>
      <c r="E97" s="330"/>
      <c r="F97" s="330"/>
    </row>
    <row r="98" spans="1:6">
      <c r="A98" s="1305" t="s">
        <v>71</v>
      </c>
      <c r="B98" s="1306">
        <v>6</v>
      </c>
      <c r="C98" s="330"/>
      <c r="D98" s="330"/>
      <c r="E98" s="330"/>
      <c r="F98" s="330"/>
    </row>
    <row r="99" spans="1:6">
      <c r="A99" s="1305" t="s">
        <v>72</v>
      </c>
      <c r="B99" s="1306">
        <v>78</v>
      </c>
      <c r="C99" s="330"/>
      <c r="D99" s="330"/>
      <c r="E99" s="330"/>
      <c r="F99" s="330"/>
    </row>
    <row r="100" spans="1:6">
      <c r="A100" s="1305" t="s">
        <v>73</v>
      </c>
      <c r="B100" s="1306">
        <v>5998</v>
      </c>
      <c r="C100" s="330"/>
      <c r="D100" s="330"/>
      <c r="E100" s="330"/>
      <c r="F100" s="330"/>
    </row>
    <row r="101" spans="1:6">
      <c r="A101" s="1305" t="s">
        <v>74</v>
      </c>
      <c r="B101" s="1306">
        <v>100</v>
      </c>
      <c r="C101" s="330"/>
      <c r="D101" s="330"/>
      <c r="E101" s="330"/>
      <c r="F101" s="330"/>
    </row>
    <row r="102" spans="1:6">
      <c r="A102" s="1305" t="s">
        <v>75</v>
      </c>
      <c r="B102" s="1306">
        <v>847</v>
      </c>
      <c r="C102" s="330"/>
      <c r="D102" s="330"/>
      <c r="E102" s="330"/>
      <c r="F102" s="330"/>
    </row>
    <row r="103" spans="1:6">
      <c r="A103" s="1305" t="s">
        <v>76</v>
      </c>
      <c r="B103" s="1306">
        <v>301</v>
      </c>
      <c r="C103" s="330"/>
      <c r="D103" s="330"/>
      <c r="E103" s="330"/>
      <c r="F103" s="330"/>
    </row>
    <row r="104" spans="1:6">
      <c r="A104" s="1305" t="s">
        <v>77</v>
      </c>
      <c r="B104" s="1306">
        <v>6677</v>
      </c>
      <c r="C104" s="330"/>
      <c r="D104" s="330"/>
      <c r="E104" s="330"/>
      <c r="F104" s="330"/>
    </row>
    <row r="105" spans="1:6">
      <c r="A105" s="1300" t="s">
        <v>78</v>
      </c>
      <c r="B105" s="1309">
        <v>29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1</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35</v>
      </c>
      <c r="C123" s="1306">
        <v>19</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170</v>
      </c>
      <c r="C129" s="330"/>
      <c r="D129" s="330"/>
      <c r="E129" s="330"/>
      <c r="F129" s="330"/>
    </row>
    <row r="130" spans="1:6">
      <c r="A130" s="1305" t="s">
        <v>294</v>
      </c>
      <c r="B130" s="1306">
        <v>5</v>
      </c>
      <c r="C130" s="330"/>
      <c r="D130" s="330"/>
      <c r="E130" s="330"/>
      <c r="F130" s="330"/>
    </row>
    <row r="131" spans="1:6">
      <c r="A131" s="1305" t="s">
        <v>295</v>
      </c>
      <c r="B131" s="1306">
        <v>13</v>
      </c>
      <c r="C131" s="330"/>
      <c r="D131" s="330"/>
      <c r="E131" s="330"/>
      <c r="F131" s="330"/>
    </row>
    <row r="132" spans="1:6">
      <c r="A132" s="1300" t="s">
        <v>296</v>
      </c>
      <c r="B132" s="1301">
        <v>11</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375813.93666618242</v>
      </c>
      <c r="C3" s="43" t="s">
        <v>169</v>
      </c>
      <c r="D3" s="43"/>
      <c r="E3" s="154"/>
      <c r="F3" s="43"/>
      <c r="G3" s="43"/>
      <c r="H3" s="43"/>
      <c r="I3" s="43"/>
      <c r="J3" s="43"/>
      <c r="K3" s="96"/>
    </row>
    <row r="4" spans="1:11">
      <c r="A4" s="359" t="s">
        <v>170</v>
      </c>
      <c r="B4" s="49">
        <f>IF(ISERROR('SEAP template'!B78+'SEAP template'!C78),0,'SEAP template'!B78+'SEAP template'!C78)</f>
        <v>10646.07136347015</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53.470588235294116</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0.21488178308795935</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76.386554621848759</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321.42857142857144</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0.23764705882352946</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4031.8910000000001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4031.8910000000001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0.21488178308795935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866.37992729629559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136026.976</v>
      </c>
      <c r="C5" s="17">
        <f>IF(ISERROR('Eigen informatie GS &amp; warmtenet'!B57),0,'Eigen informatie GS &amp; warmtenet'!B57)</f>
        <v>0</v>
      </c>
      <c r="D5" s="30">
        <f>(SUM(HH_hh_gas_kWh,HH_rest_gas_kWh)/1000)*0.902</f>
        <v>238178.41289014567</v>
      </c>
      <c r="E5" s="17">
        <f>B46*B57</f>
        <v>10704.886227940251</v>
      </c>
      <c r="F5" s="17">
        <f>B51*B62</f>
        <v>0</v>
      </c>
      <c r="G5" s="18"/>
      <c r="H5" s="17"/>
      <c r="I5" s="17"/>
      <c r="J5" s="17">
        <f>B50*B61+C50*C61</f>
        <v>0</v>
      </c>
      <c r="K5" s="17"/>
      <c r="L5" s="17"/>
      <c r="M5" s="17"/>
      <c r="N5" s="17">
        <f>B48*B59+C48*C59</f>
        <v>9896.8484314434627</v>
      </c>
      <c r="O5" s="17">
        <f>B69*B70*B71</f>
        <v>295.47000000000003</v>
      </c>
      <c r="P5" s="17">
        <f>B77*B78*B79/1000-B77*B78*B79/1000/B80</f>
        <v>896.13333333333333</v>
      </c>
    </row>
    <row r="6" spans="1:16">
      <c r="A6" s="16" t="s">
        <v>630</v>
      </c>
      <c r="B6" s="763">
        <f>kWh_PV_kleiner_dan_10kW</f>
        <v>4967.2028370960961</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140994.17883709609</v>
      </c>
      <c r="C8" s="21">
        <f>C5</f>
        <v>0</v>
      </c>
      <c r="D8" s="21">
        <f>D5</f>
        <v>238178.41289014567</v>
      </c>
      <c r="E8" s="21">
        <f>E5</f>
        <v>10704.886227940251</v>
      </c>
      <c r="F8" s="21">
        <f>F5</f>
        <v>0</v>
      </c>
      <c r="G8" s="21"/>
      <c r="H8" s="21"/>
      <c r="I8" s="21"/>
      <c r="J8" s="21">
        <f>J5</f>
        <v>0</v>
      </c>
      <c r="K8" s="21"/>
      <c r="L8" s="21">
        <f>L5</f>
        <v>0</v>
      </c>
      <c r="M8" s="21">
        <f>M5</f>
        <v>0</v>
      </c>
      <c r="N8" s="21">
        <f>N5</f>
        <v>9896.8484314434627</v>
      </c>
      <c r="O8" s="21">
        <f>O5</f>
        <v>295.47000000000003</v>
      </c>
      <c r="P8" s="21">
        <f>P5</f>
        <v>896.13333333333333</v>
      </c>
    </row>
    <row r="9" spans="1:16">
      <c r="B9" s="19"/>
      <c r="C9" s="19"/>
      <c r="D9" s="258"/>
      <c r="E9" s="19"/>
      <c r="F9" s="19"/>
      <c r="G9" s="19"/>
      <c r="H9" s="19"/>
      <c r="I9" s="19"/>
      <c r="J9" s="19"/>
      <c r="K9" s="19"/>
      <c r="L9" s="19"/>
      <c r="M9" s="19"/>
      <c r="N9" s="19"/>
      <c r="O9" s="19"/>
      <c r="P9" s="19"/>
    </row>
    <row r="10" spans="1:16">
      <c r="A10" s="24" t="s">
        <v>213</v>
      </c>
      <c r="B10" s="25">
        <f ca="1">'EF ele_warmte'!B12</f>
        <v>0.21488178308795935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30297.080553537831</v>
      </c>
      <c r="C12" s="23">
        <f ca="1">C10*C8</f>
        <v>0</v>
      </c>
      <c r="D12" s="23">
        <f>D8*D10</f>
        <v>48112.039403809431</v>
      </c>
      <c r="E12" s="23">
        <f>E10*E8</f>
        <v>2430.0091737424373</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18029</v>
      </c>
      <c r="C18" s="166" t="s">
        <v>110</v>
      </c>
      <c r="D18" s="228"/>
      <c r="E18" s="15"/>
    </row>
    <row r="19" spans="1:7">
      <c r="A19" s="171" t="s">
        <v>71</v>
      </c>
      <c r="B19" s="37">
        <f>aantalw2001_ander</f>
        <v>6</v>
      </c>
      <c r="C19" s="166" t="s">
        <v>110</v>
      </c>
      <c r="D19" s="229"/>
      <c r="E19" s="15"/>
    </row>
    <row r="20" spans="1:7">
      <c r="A20" s="171" t="s">
        <v>72</v>
      </c>
      <c r="B20" s="37">
        <f>aantalw2001_propaan</f>
        <v>78</v>
      </c>
      <c r="C20" s="167">
        <f>IF(ISERROR(B20/SUM($B$20,$B$21,$B$22)*100),0,B20/SUM($B$20,$B$21,$B$22)*100)</f>
        <v>1.2629533678756477</v>
      </c>
      <c r="D20" s="229"/>
      <c r="E20" s="15"/>
    </row>
    <row r="21" spans="1:7">
      <c r="A21" s="171" t="s">
        <v>73</v>
      </c>
      <c r="B21" s="37">
        <f>aantalw2001_elektriciteit</f>
        <v>5998</v>
      </c>
      <c r="C21" s="167">
        <f>IF(ISERROR(B21/SUM($B$20,$B$21,$B$22)*100),0,B21/SUM($B$20,$B$21,$B$22)*100)</f>
        <v>97.117875647668399</v>
      </c>
      <c r="D21" s="229"/>
      <c r="E21" s="15"/>
    </row>
    <row r="22" spans="1:7">
      <c r="A22" s="171" t="s">
        <v>74</v>
      </c>
      <c r="B22" s="37">
        <f>aantalw2001_hout</f>
        <v>100</v>
      </c>
      <c r="C22" s="167">
        <f>IF(ISERROR(B22/SUM($B$20,$B$21,$B$22)*100),0,B22/SUM($B$20,$B$21,$B$22)*100)</f>
        <v>1.6191709844559583</v>
      </c>
      <c r="D22" s="229"/>
      <c r="E22" s="15"/>
    </row>
    <row r="23" spans="1:7">
      <c r="A23" s="171" t="s">
        <v>75</v>
      </c>
      <c r="B23" s="37">
        <f>aantalw2001_niet_gespec</f>
        <v>847</v>
      </c>
      <c r="C23" s="166" t="s">
        <v>110</v>
      </c>
      <c r="D23" s="228"/>
      <c r="E23" s="15"/>
    </row>
    <row r="24" spans="1:7">
      <c r="A24" s="171" t="s">
        <v>76</v>
      </c>
      <c r="B24" s="37">
        <f>aantalw2001_steenkool</f>
        <v>301</v>
      </c>
      <c r="C24" s="166" t="s">
        <v>110</v>
      </c>
      <c r="D24" s="229"/>
      <c r="E24" s="15"/>
    </row>
    <row r="25" spans="1:7">
      <c r="A25" s="171" t="s">
        <v>77</v>
      </c>
      <c r="B25" s="37">
        <f>aantalw2001_stookolie</f>
        <v>6677</v>
      </c>
      <c r="C25" s="166" t="s">
        <v>110</v>
      </c>
      <c r="D25" s="228"/>
      <c r="E25" s="52"/>
    </row>
    <row r="26" spans="1:7">
      <c r="A26" s="171" t="s">
        <v>78</v>
      </c>
      <c r="B26" s="37">
        <f>aantalw2001_WP</f>
        <v>29</v>
      </c>
      <c r="C26" s="166" t="s">
        <v>110</v>
      </c>
      <c r="D26" s="228"/>
      <c r="E26" s="15"/>
    </row>
    <row r="27" spans="1:7" s="15" customFormat="1">
      <c r="A27" s="171"/>
      <c r="B27" s="29"/>
      <c r="C27" s="36"/>
      <c r="D27" s="228"/>
    </row>
    <row r="28" spans="1:7" s="15" customFormat="1">
      <c r="A28" s="230" t="s">
        <v>736</v>
      </c>
      <c r="B28" s="37">
        <f>aantalHuishoudens</f>
        <v>36026</v>
      </c>
      <c r="C28" s="36"/>
      <c r="D28" s="228"/>
    </row>
    <row r="29" spans="1:7" s="15" customFormat="1">
      <c r="A29" s="230" t="s">
        <v>737</v>
      </c>
      <c r="B29" s="37">
        <f>SUM(HH_hh_gas_aantal,HH_rest_gas_aantal)</f>
        <v>25361</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25361</v>
      </c>
      <c r="C32" s="167">
        <f>IF(ISERROR(B32/SUM($B$32,$B$34,$B$35,$B$36,$B$38,$B$39)*100),0,B32/SUM($B$32,$B$34,$B$35,$B$36,$B$38,$B$39)*100)</f>
        <v>70.488340420801023</v>
      </c>
      <c r="D32" s="233"/>
      <c r="G32" s="15"/>
    </row>
    <row r="33" spans="1:7">
      <c r="A33" s="171" t="s">
        <v>71</v>
      </c>
      <c r="B33" s="34" t="s">
        <v>110</v>
      </c>
      <c r="C33" s="167"/>
      <c r="D33" s="233"/>
      <c r="G33" s="15"/>
    </row>
    <row r="34" spans="1:7">
      <c r="A34" s="171" t="s">
        <v>72</v>
      </c>
      <c r="B34" s="33">
        <f>IF((($B$28-$B$32-$B$39-$B$77-$B$38)*C20/100)&lt;0,0,($B$28-$B$32-$B$39-$B$77-$B$38)*C20/100)</f>
        <v>134.10038860103626</v>
      </c>
      <c r="C34" s="167">
        <f>IF(ISERROR(B34/SUM($B$32,$B$34,$B$35,$B$36,$B$38,$B$39)*100),0,B34/SUM($B$32,$B$34,$B$35,$B$36,$B$38,$B$39)*100)</f>
        <v>0.37271849857148964</v>
      </c>
      <c r="D34" s="233"/>
      <c r="G34" s="15"/>
    </row>
    <row r="35" spans="1:7">
      <c r="A35" s="171" t="s">
        <v>73</v>
      </c>
      <c r="B35" s="33">
        <f>IF((($B$28-$B$32-$B$39-$B$77-$B$38)*C21/100)&lt;0,0,($B$28-$B$32-$B$39-$B$77-$B$38)*C21/100)</f>
        <v>10311.976036269431</v>
      </c>
      <c r="C35" s="167">
        <f>IF(ISERROR(B35/SUM($B$32,$B$34,$B$35,$B$36,$B$38,$B$39)*100),0,B35/SUM($B$32,$B$34,$B$35,$B$36,$B$38,$B$39)*100)</f>
        <v>28.661096851689681</v>
      </c>
      <c r="D35" s="233"/>
      <c r="G35" s="15"/>
    </row>
    <row r="36" spans="1:7">
      <c r="A36" s="171" t="s">
        <v>74</v>
      </c>
      <c r="B36" s="33">
        <f>IF((($B$28-$B$32-$B$39-$B$77-$B$38)*C22/100)&lt;0,0,($B$28-$B$32-$B$39-$B$77-$B$38)*C22/100)</f>
        <v>171.92357512953365</v>
      </c>
      <c r="C36" s="167">
        <f>IF(ISERROR(B36/SUM($B$32,$B$34,$B$35,$B$36,$B$38,$B$39)*100),0,B36/SUM($B$32,$B$34,$B$35,$B$36,$B$38,$B$39)*100)</f>
        <v>0.4778442289378072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25361</v>
      </c>
      <c r="C44" s="34" t="s">
        <v>110</v>
      </c>
      <c r="D44" s="174"/>
    </row>
    <row r="45" spans="1:7">
      <c r="A45" s="171" t="s">
        <v>71</v>
      </c>
      <c r="B45" s="33" t="str">
        <f t="shared" si="0"/>
        <v>-</v>
      </c>
      <c r="C45" s="34" t="s">
        <v>110</v>
      </c>
      <c r="D45" s="174"/>
    </row>
    <row r="46" spans="1:7">
      <c r="A46" s="171" t="s">
        <v>72</v>
      </c>
      <c r="B46" s="33">
        <f t="shared" si="0"/>
        <v>134.10038860103626</v>
      </c>
      <c r="C46" s="34" t="s">
        <v>110</v>
      </c>
      <c r="D46" s="174"/>
    </row>
    <row r="47" spans="1:7">
      <c r="A47" s="171" t="s">
        <v>73</v>
      </c>
      <c r="B47" s="33">
        <f t="shared" si="0"/>
        <v>10311.976036269431</v>
      </c>
      <c r="C47" s="34" t="s">
        <v>110</v>
      </c>
      <c r="D47" s="174"/>
    </row>
    <row r="48" spans="1:7">
      <c r="A48" s="171" t="s">
        <v>74</v>
      </c>
      <c r="B48" s="33">
        <f t="shared" si="0"/>
        <v>171.92357512953365</v>
      </c>
      <c r="C48" s="33">
        <f>B48*10</f>
        <v>1719.2357512953365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189</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47</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152820.62499999997</v>
      </c>
      <c r="C5" s="17">
        <f>IF(ISERROR('Eigen informatie GS &amp; warmtenet'!B58),0,'Eigen informatie GS &amp; warmtenet'!B58)</f>
        <v>0</v>
      </c>
      <c r="D5" s="30">
        <f>SUM(D6:D12)</f>
        <v>154944.25138315599</v>
      </c>
      <c r="E5" s="17">
        <f>SUM(E6:E12)</f>
        <v>1785.9683820266746</v>
      </c>
      <c r="F5" s="17">
        <f>SUM(F6:F12)</f>
        <v>24170.234824723015</v>
      </c>
      <c r="G5" s="18"/>
      <c r="H5" s="17"/>
      <c r="I5" s="17"/>
      <c r="J5" s="17">
        <f>SUM(J6:J12)</f>
        <v>0</v>
      </c>
      <c r="K5" s="17"/>
      <c r="L5" s="17"/>
      <c r="M5" s="17"/>
      <c r="N5" s="17">
        <f>SUM(N6:N12)</f>
        <v>19128.695342783703</v>
      </c>
      <c r="O5" s="17">
        <f>B38*B39*B40</f>
        <v>7.8166666666666664</v>
      </c>
      <c r="P5" s="17">
        <f>B46*B47*B48/1000-B46*B47*B48/1000/B49</f>
        <v>247.86666666666667</v>
      </c>
      <c r="R5" s="32"/>
    </row>
    <row r="6" spans="1:18">
      <c r="A6" s="32" t="s">
        <v>53</v>
      </c>
      <c r="B6" s="37">
        <f>B26</f>
        <v>39554.072</v>
      </c>
      <c r="C6" s="33"/>
      <c r="D6" s="37">
        <f>IF(ISERROR(TER_kantoor_gas_kWh/1000),0,TER_kantoor_gas_kWh/1000)*0.902</f>
        <v>52947.00572807563</v>
      </c>
      <c r="E6" s="33">
        <f>$C$26*'E Balans VL '!I12/100/3.6*1000000</f>
        <v>114.59394998924232</v>
      </c>
      <c r="F6" s="33">
        <f>$C$26*('E Balans VL '!L12+'E Balans VL '!N12)/100/3.6*1000000</f>
        <v>4476.6495066287607</v>
      </c>
      <c r="G6" s="34"/>
      <c r="H6" s="33"/>
      <c r="I6" s="33"/>
      <c r="J6" s="33">
        <f>$C$26*('E Balans VL '!D12+'E Balans VL '!E12)/100/3.6*1000000</f>
        <v>0</v>
      </c>
      <c r="K6" s="33"/>
      <c r="L6" s="33"/>
      <c r="M6" s="33"/>
      <c r="N6" s="33">
        <f>$C$26*'E Balans VL '!Y12/100/3.6*1000000</f>
        <v>395.90711597847366</v>
      </c>
      <c r="O6" s="33"/>
      <c r="P6" s="33"/>
      <c r="R6" s="32"/>
    </row>
    <row r="7" spans="1:18">
      <c r="A7" s="32" t="s">
        <v>52</v>
      </c>
      <c r="B7" s="37">
        <f t="shared" ref="B7:B12" si="0">B27</f>
        <v>25560.108</v>
      </c>
      <c r="C7" s="33"/>
      <c r="D7" s="37">
        <f>IF(ISERROR(TER_horeca_gas_kWh/1000),0,TER_horeca_gas_kWh/1000)*0.902</f>
        <v>25332.605415762162</v>
      </c>
      <c r="E7" s="33">
        <f>$C$27*'E Balans VL '!I9/100/3.6*1000000</f>
        <v>1072.9419203096531</v>
      </c>
      <c r="F7" s="33">
        <f>$C$27*('E Balans VL '!L9+'E Balans VL '!N9)/100/3.6*1000000</f>
        <v>5492.1133631814155</v>
      </c>
      <c r="G7" s="34"/>
      <c r="H7" s="33"/>
      <c r="I7" s="33"/>
      <c r="J7" s="33">
        <f>$C$27*('E Balans VL '!D9+'E Balans VL '!E9)/100/3.6*1000000</f>
        <v>0</v>
      </c>
      <c r="K7" s="33"/>
      <c r="L7" s="33"/>
      <c r="M7" s="33"/>
      <c r="N7" s="33">
        <f>$C$27*'E Balans VL '!Y9/100/3.6*1000000</f>
        <v>6.5866163003464271</v>
      </c>
      <c r="O7" s="33"/>
      <c r="P7" s="33"/>
      <c r="R7" s="32"/>
    </row>
    <row r="8" spans="1:18">
      <c r="A8" s="6" t="s">
        <v>51</v>
      </c>
      <c r="B8" s="37">
        <f t="shared" si="0"/>
        <v>44814.019</v>
      </c>
      <c r="C8" s="33"/>
      <c r="D8" s="37">
        <f>IF(ISERROR(TER_handel_gas_kWh/1000),0,TER_handel_gas_kWh/1000)*0.902</f>
        <v>18831.394049362727</v>
      </c>
      <c r="E8" s="33">
        <f>$C$28*'E Balans VL '!I13/100/3.6*1000000</f>
        <v>481.3398617077687</v>
      </c>
      <c r="F8" s="33">
        <f>$C$28*('E Balans VL '!L13+'E Balans VL '!N13)/100/3.6*1000000</f>
        <v>5801.5448260900557</v>
      </c>
      <c r="G8" s="34"/>
      <c r="H8" s="33"/>
      <c r="I8" s="33"/>
      <c r="J8" s="33">
        <f>$C$28*('E Balans VL '!D13+'E Balans VL '!E13)/100/3.6*1000000</f>
        <v>0</v>
      </c>
      <c r="K8" s="33"/>
      <c r="L8" s="33"/>
      <c r="M8" s="33"/>
      <c r="N8" s="33">
        <f>$C$28*'E Balans VL '!Y13/100/3.6*1000000</f>
        <v>363.53376907982965</v>
      </c>
      <c r="O8" s="33"/>
      <c r="P8" s="33"/>
      <c r="R8" s="32"/>
    </row>
    <row r="9" spans="1:18">
      <c r="A9" s="32" t="s">
        <v>50</v>
      </c>
      <c r="B9" s="37">
        <f t="shared" si="0"/>
        <v>11574.664000000001</v>
      </c>
      <c r="C9" s="33"/>
      <c r="D9" s="37">
        <f>IF(ISERROR(TER_gezond_gas_kWh/1000),0,TER_gezond_gas_kWh/1000)*0.902</f>
        <v>20833.736266685115</v>
      </c>
      <c r="E9" s="33">
        <f>$C$29*'E Balans VL '!I10/100/3.6*1000000</f>
        <v>9.2141811732111503</v>
      </c>
      <c r="F9" s="33">
        <f>$C$29*('E Balans VL '!L10+'E Balans VL '!N10)/100/3.6*1000000</f>
        <v>1407.0676781607829</v>
      </c>
      <c r="G9" s="34"/>
      <c r="H9" s="33"/>
      <c r="I9" s="33"/>
      <c r="J9" s="33">
        <f>$C$29*('E Balans VL '!D10+'E Balans VL '!E10)/100/3.6*1000000</f>
        <v>0</v>
      </c>
      <c r="K9" s="33"/>
      <c r="L9" s="33"/>
      <c r="M9" s="33"/>
      <c r="N9" s="33">
        <f>$C$29*'E Balans VL '!Y10/100/3.6*1000000</f>
        <v>93.497069286253989</v>
      </c>
      <c r="O9" s="33"/>
      <c r="P9" s="33"/>
      <c r="R9" s="32"/>
    </row>
    <row r="10" spans="1:18">
      <c r="A10" s="32" t="s">
        <v>49</v>
      </c>
      <c r="B10" s="37">
        <f t="shared" si="0"/>
        <v>25699.481</v>
      </c>
      <c r="C10" s="33"/>
      <c r="D10" s="37">
        <f>IF(ISERROR(TER_ander_gas_kWh/1000),0,TER_ander_gas_kWh/1000)*0.902</f>
        <v>20092.871725142209</v>
      </c>
      <c r="E10" s="33">
        <f>$C$30*'E Balans VL '!I14/100/3.6*1000000</f>
        <v>88.073471464670746</v>
      </c>
      <c r="F10" s="33">
        <f>$C$30*('E Balans VL '!L14+'E Balans VL '!N14)/100/3.6*1000000</f>
        <v>5740.2197515075059</v>
      </c>
      <c r="G10" s="34"/>
      <c r="H10" s="33"/>
      <c r="I10" s="33"/>
      <c r="J10" s="33">
        <f>$C$30*('E Balans VL '!D14+'E Balans VL '!E14)/100/3.6*1000000</f>
        <v>0</v>
      </c>
      <c r="K10" s="33"/>
      <c r="L10" s="33"/>
      <c r="M10" s="33"/>
      <c r="N10" s="33">
        <f>$C$30*'E Balans VL '!Y14/100/3.6*1000000</f>
        <v>18102.854809920394</v>
      </c>
      <c r="O10" s="33"/>
      <c r="P10" s="33"/>
      <c r="R10" s="32"/>
    </row>
    <row r="11" spans="1:18">
      <c r="A11" s="32" t="s">
        <v>54</v>
      </c>
      <c r="B11" s="37">
        <f t="shared" si="0"/>
        <v>3711.5169999999998</v>
      </c>
      <c r="C11" s="33"/>
      <c r="D11" s="37">
        <f>IF(ISERROR(TER_onderwijs_gas_kWh/1000),0,TER_onderwijs_gas_kWh/1000)*0.902</f>
        <v>6086.3769155967257</v>
      </c>
      <c r="E11" s="33">
        <f>$C$31*'E Balans VL '!I11/100/3.6*1000000</f>
        <v>2.5656573963724032</v>
      </c>
      <c r="F11" s="33">
        <f>$C$31*('E Balans VL '!L11+'E Balans VL '!N11)/100/3.6*1000000</f>
        <v>971.56733834638703</v>
      </c>
      <c r="G11" s="34"/>
      <c r="H11" s="33"/>
      <c r="I11" s="33"/>
      <c r="J11" s="33">
        <f>$C$31*('E Balans VL '!D11+'E Balans VL '!E11)/100/3.6*1000000</f>
        <v>0</v>
      </c>
      <c r="K11" s="33"/>
      <c r="L11" s="33"/>
      <c r="M11" s="33"/>
      <c r="N11" s="33">
        <f>$C$31*'E Balans VL '!Y11/100/3.6*1000000</f>
        <v>3.6944990511420954</v>
      </c>
      <c r="O11" s="33"/>
      <c r="P11" s="33"/>
      <c r="R11" s="32"/>
    </row>
    <row r="12" spans="1:18">
      <c r="A12" s="32" t="s">
        <v>259</v>
      </c>
      <c r="B12" s="37">
        <f t="shared" si="0"/>
        <v>1906.7639999999999</v>
      </c>
      <c r="C12" s="33"/>
      <c r="D12" s="37">
        <f>IF(ISERROR(TER_rest_gas_kWh/1000),0,TER_rest_gas_kWh/1000)*0.902</f>
        <v>10820.261282531443</v>
      </c>
      <c r="E12" s="33">
        <f>$C$32*'E Balans VL '!I8/100/3.6*1000000</f>
        <v>17.239339985756214</v>
      </c>
      <c r="F12" s="33">
        <f>$C$32*('E Balans VL '!L8+'E Balans VL '!N8)/100/3.6*1000000</f>
        <v>281.07236080810537</v>
      </c>
      <c r="G12" s="34"/>
      <c r="H12" s="33"/>
      <c r="I12" s="33"/>
      <c r="J12" s="33">
        <f>$C$32*('E Balans VL '!D8+'E Balans VL '!E8)/100/3.6*1000000</f>
        <v>0</v>
      </c>
      <c r="K12" s="33"/>
      <c r="L12" s="33"/>
      <c r="M12" s="33"/>
      <c r="N12" s="33">
        <f>$C$32*'E Balans VL '!Y8/100/3.6*1000000</f>
        <v>162.62146316726142</v>
      </c>
      <c r="O12" s="33"/>
      <c r="P12" s="33"/>
      <c r="R12" s="32"/>
    </row>
    <row r="13" spans="1:18">
      <c r="A13" s="16" t="s">
        <v>493</v>
      </c>
      <c r="B13" s="247">
        <f ca="1">'lokale energieproductie'!N38+'lokale energieproductie'!N31</f>
        <v>225</v>
      </c>
      <c r="C13" s="247">
        <f ca="1">'lokale energieproductie'!O38+'lokale energieproductie'!O31</f>
        <v>321.42857142857144</v>
      </c>
      <c r="D13" s="308">
        <f ca="1">('lokale energieproductie'!P31+'lokale energieproductie'!P38)*(-1)</f>
        <v>-642.85714285714289</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153045.62499999997</v>
      </c>
      <c r="C16" s="21">
        <f t="shared" ca="1" si="1"/>
        <v>321.42857142857144</v>
      </c>
      <c r="D16" s="21">
        <f t="shared" ca="1" si="1"/>
        <v>154301.39424029886</v>
      </c>
      <c r="E16" s="21">
        <f t="shared" si="1"/>
        <v>1785.9683820266746</v>
      </c>
      <c r="F16" s="21">
        <f t="shared" ca="1" si="1"/>
        <v>24170.234824723015</v>
      </c>
      <c r="G16" s="21">
        <f t="shared" si="1"/>
        <v>0</v>
      </c>
      <c r="H16" s="21">
        <f t="shared" si="1"/>
        <v>0</v>
      </c>
      <c r="I16" s="21">
        <f t="shared" si="1"/>
        <v>0</v>
      </c>
      <c r="J16" s="21">
        <f t="shared" si="1"/>
        <v>0</v>
      </c>
      <c r="K16" s="21">
        <f t="shared" si="1"/>
        <v>0</v>
      </c>
      <c r="L16" s="21">
        <f t="shared" ca="1" si="1"/>
        <v>0</v>
      </c>
      <c r="M16" s="21">
        <f t="shared" si="1"/>
        <v>0</v>
      </c>
      <c r="N16" s="21">
        <f t="shared" ca="1" si="1"/>
        <v>19128.695342783703</v>
      </c>
      <c r="O16" s="21">
        <f>O5</f>
        <v>7.8166666666666664</v>
      </c>
      <c r="P16" s="21">
        <f>P5</f>
        <v>247.86666666666667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0.21488178308795935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32886.71679381116</v>
      </c>
      <c r="C20" s="23">
        <f t="shared" ref="C20:P20" ca="1" si="2">C16*C18</f>
        <v>76.386554621848759</v>
      </c>
      <c r="D20" s="23">
        <f t="shared" ca="1" si="2"/>
        <v>31168.881636540373</v>
      </c>
      <c r="E20" s="23">
        <f t="shared" si="2"/>
        <v>405.41482272005516</v>
      </c>
      <c r="F20" s="23">
        <f t="shared" ca="1" si="2"/>
        <v>6453.4526982010457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39554.072</v>
      </c>
      <c r="C26" s="39">
        <f>IF(ISERROR(B26*3.6/1000000/'E Balans VL '!Z12*100),0,B26*3.6/1000000/'E Balans VL '!Z12*100)</f>
        <v>0.86885092056641666</v>
      </c>
      <c r="D26" s="237" t="s">
        <v>691</v>
      </c>
      <c r="F26" s="6"/>
    </row>
    <row r="27" spans="1:18">
      <c r="A27" s="231" t="s">
        <v>52</v>
      </c>
      <c r="B27" s="33">
        <f>IF(ISERROR(TER_horeca_ele_kWh/1000),0,TER_horeca_ele_kWh/1000)</f>
        <v>25560.108</v>
      </c>
      <c r="C27" s="39">
        <f>IF(ISERROR(B27*3.6/1000000/'E Balans VL '!Z9*100),0,B27*3.6/1000000/'E Balans VL '!Z9*100)</f>
        <v>2.0540094639658437</v>
      </c>
      <c r="D27" s="237" t="s">
        <v>691</v>
      </c>
      <c r="F27" s="6"/>
    </row>
    <row r="28" spans="1:18">
      <c r="A28" s="171" t="s">
        <v>51</v>
      </c>
      <c r="B28" s="33">
        <f>IF(ISERROR(TER_handel_ele_kWh/1000),0,TER_handel_ele_kWh/1000)</f>
        <v>44814.019</v>
      </c>
      <c r="C28" s="39">
        <f>IF(ISERROR(B28*3.6/1000000/'E Balans VL '!Z13*100),0,B28*3.6/1000000/'E Balans VL '!Z13*100)</f>
        <v>1.3251192340989715</v>
      </c>
      <c r="D28" s="237" t="s">
        <v>691</v>
      </c>
      <c r="F28" s="6"/>
    </row>
    <row r="29" spans="1:18">
      <c r="A29" s="231" t="s">
        <v>50</v>
      </c>
      <c r="B29" s="33">
        <f>IF(ISERROR(TER_gezond_ele_kWh/1000),0,TER_gezond_ele_kWh/1000)</f>
        <v>11574.664000000001</v>
      </c>
      <c r="C29" s="39">
        <f>IF(ISERROR(B29*3.6/1000000/'E Balans VL '!Z10*100),0,B29*3.6/1000000/'E Balans VL '!Z10*100)</f>
        <v>1.3041658013175816</v>
      </c>
      <c r="D29" s="237" t="s">
        <v>691</v>
      </c>
      <c r="F29" s="6"/>
    </row>
    <row r="30" spans="1:18">
      <c r="A30" s="231" t="s">
        <v>49</v>
      </c>
      <c r="B30" s="33">
        <f>IF(ISERROR(TER_ander_ele_kWh/1000),0,TER_ander_ele_kWh/1000)</f>
        <v>25699.481</v>
      </c>
      <c r="C30" s="39">
        <f>IF(ISERROR(B30*3.6/1000000/'E Balans VL '!Z14*100),0,B30*3.6/1000000/'E Balans VL '!Z14*100)</f>
        <v>1.9436078167516093</v>
      </c>
      <c r="D30" s="237" t="s">
        <v>691</v>
      </c>
      <c r="F30" s="6"/>
    </row>
    <row r="31" spans="1:18">
      <c r="A31" s="231" t="s">
        <v>54</v>
      </c>
      <c r="B31" s="33">
        <f>IF(ISERROR(TER_onderwijs_ele_kWh/1000),0,TER_onderwijs_ele_kWh/1000)</f>
        <v>3711.5169999999998</v>
      </c>
      <c r="C31" s="39">
        <f>IF(ISERROR(B31*3.6/1000000/'E Balans VL '!Z11*100),0,B31*3.6/1000000/'E Balans VL '!Z11*100)</f>
        <v>0.77042477003169463</v>
      </c>
      <c r="D31" s="237" t="s">
        <v>691</v>
      </c>
    </row>
    <row r="32" spans="1:18">
      <c r="A32" s="231" t="s">
        <v>259</v>
      </c>
      <c r="B32" s="33">
        <f>IF(ISERROR(TER_rest_ele_kWh/1000),0,TER_rest_ele_kWh/1000)</f>
        <v>1906.7639999999999</v>
      </c>
      <c r="C32" s="39">
        <f>IF(ISERROR(B32*3.6/1000000/'E Balans VL '!Z8*100),0,B32*3.6/1000000/'E Balans VL '!Z8*100)</f>
        <v>1.606336498872515E-2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13</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62894.333560000006</v>
      </c>
      <c r="C5" s="17">
        <f>IF(ISERROR('Eigen informatie GS &amp; warmtenet'!B59),0,'Eigen informatie GS &amp; warmtenet'!B59)</f>
        <v>0</v>
      </c>
      <c r="D5" s="30">
        <f>SUM(D6:D15)</f>
        <v>57882.759170335397</v>
      </c>
      <c r="E5" s="17">
        <f>SUM(E6:E15)</f>
        <v>4160.3556365553932</v>
      </c>
      <c r="F5" s="17">
        <f>SUM(F6:F15)</f>
        <v>43824.873336644581</v>
      </c>
      <c r="G5" s="18"/>
      <c r="H5" s="17"/>
      <c r="I5" s="17"/>
      <c r="J5" s="17">
        <f>SUM(J6:J15)</f>
        <v>450.73609231344722</v>
      </c>
      <c r="K5" s="17"/>
      <c r="L5" s="17"/>
      <c r="M5" s="17"/>
      <c r="N5" s="17">
        <f>SUM(N6:N15)</f>
        <v>10083.463886884432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12409.517</v>
      </c>
      <c r="C8" s="33"/>
      <c r="D8" s="37">
        <f>IF( ISERROR(IND_metaal_Gas_kWH/1000),0,IND_metaal_Gas_kWH/1000)*0.902</f>
        <v>8043.9481844849142</v>
      </c>
      <c r="E8" s="33">
        <f>C30*'E Balans VL '!I18/100/3.6*1000000</f>
        <v>310.56677813097809</v>
      </c>
      <c r="F8" s="33">
        <f>C30*'E Balans VL '!L18/100/3.6*1000000+C30*'E Balans VL '!N18/100/3.6*1000000</f>
        <v>3889.2043559121098</v>
      </c>
      <c r="G8" s="34"/>
      <c r="H8" s="33"/>
      <c r="I8" s="33"/>
      <c r="J8" s="40">
        <f>C30*'E Balans VL '!D18/100/3.6*1000000+C30*'E Balans VL '!E18/100/3.6*1000000</f>
        <v>0</v>
      </c>
      <c r="K8" s="33"/>
      <c r="L8" s="33"/>
      <c r="M8" s="33"/>
      <c r="N8" s="33">
        <f>C30*'E Balans VL '!Y18/100/3.6*1000000</f>
        <v>311.75927254495673</v>
      </c>
      <c r="O8" s="33"/>
      <c r="P8" s="33"/>
      <c r="R8" s="32"/>
    </row>
    <row r="9" spans="1:18">
      <c r="A9" s="6" t="s">
        <v>32</v>
      </c>
      <c r="B9" s="37">
        <f t="shared" si="0"/>
        <v>8835.2459999999992</v>
      </c>
      <c r="C9" s="33"/>
      <c r="D9" s="37">
        <f>IF( ISERROR(IND_andere_gas_kWh/1000),0,IND_andere_gas_kWh/1000)*0.902</f>
        <v>3630.8319174173798</v>
      </c>
      <c r="E9" s="33">
        <f>C31*'E Balans VL '!I19/100/3.6*1000000</f>
        <v>2429.3302718941218</v>
      </c>
      <c r="F9" s="33">
        <f>C31*'E Balans VL '!L19/100/3.6*1000000+C31*'E Balans VL '!N19/100/3.6*1000000</f>
        <v>6963.7112911892846</v>
      </c>
      <c r="G9" s="34"/>
      <c r="H9" s="33"/>
      <c r="I9" s="33"/>
      <c r="J9" s="40">
        <f>C31*'E Balans VL '!D19/100/3.6*1000000+C31*'E Balans VL '!E19/100/3.6*1000000</f>
        <v>0</v>
      </c>
      <c r="K9" s="33"/>
      <c r="L9" s="33"/>
      <c r="M9" s="33"/>
      <c r="N9" s="33">
        <f>C31*'E Balans VL '!Y19/100/3.6*1000000</f>
        <v>711.77298533862302</v>
      </c>
      <c r="O9" s="33"/>
      <c r="P9" s="33"/>
      <c r="R9" s="32"/>
    </row>
    <row r="10" spans="1:18">
      <c r="A10" s="6" t="s">
        <v>40</v>
      </c>
      <c r="B10" s="37">
        <f t="shared" si="0"/>
        <v>14417.419</v>
      </c>
      <c r="C10" s="33"/>
      <c r="D10" s="37">
        <f>IF( ISERROR(IND_voed_gas_kWh/1000),0,IND_voed_gas_kWh/1000)*0.902</f>
        <v>10949.850383688203</v>
      </c>
      <c r="E10" s="33">
        <f>C32*'E Balans VL '!I20/100/3.6*1000000</f>
        <v>146.97764410355222</v>
      </c>
      <c r="F10" s="33">
        <f>C32*'E Balans VL '!L20/100/3.6*1000000+C32*'E Balans VL '!N20/100/3.6*1000000</f>
        <v>27234.414318748568</v>
      </c>
      <c r="G10" s="34"/>
      <c r="H10" s="33"/>
      <c r="I10" s="33"/>
      <c r="J10" s="40">
        <f>C32*'E Balans VL '!D20/100/3.6*1000000+C32*'E Balans VL '!E20/100/3.6*1000000</f>
        <v>345.05601067854349</v>
      </c>
      <c r="K10" s="33"/>
      <c r="L10" s="33"/>
      <c r="M10" s="33"/>
      <c r="N10" s="33">
        <f>C32*'E Balans VL '!Y20/100/3.6*1000000</f>
        <v>7599.6404960299242</v>
      </c>
      <c r="O10" s="33"/>
      <c r="P10" s="33"/>
      <c r="R10" s="32"/>
    </row>
    <row r="11" spans="1:18">
      <c r="A11" s="6" t="s">
        <v>39</v>
      </c>
      <c r="B11" s="37">
        <f t="shared" si="0"/>
        <v>87.854259999999996</v>
      </c>
      <c r="C11" s="33"/>
      <c r="D11" s="37">
        <f>IF( ISERROR(IND_textiel_gas_kWh/1000),0,IND_textiel_gas_kWh/1000)*0.902</f>
        <v>203.96966109736232</v>
      </c>
      <c r="E11" s="33">
        <f>C33*'E Balans VL '!I21/100/3.6*1000000</f>
        <v>0.23285676884165579</v>
      </c>
      <c r="F11" s="33">
        <f>C33*'E Balans VL '!L21/100/3.6*1000000+C33*'E Balans VL '!N21/100/3.6*1000000</f>
        <v>3.9236618800175602</v>
      </c>
      <c r="G11" s="34"/>
      <c r="H11" s="33"/>
      <c r="I11" s="33"/>
      <c r="J11" s="40">
        <f>C33*'E Balans VL '!D21/100/3.6*1000000+C33*'E Balans VL '!E21/100/3.6*1000000</f>
        <v>0</v>
      </c>
      <c r="K11" s="33"/>
      <c r="L11" s="33"/>
      <c r="M11" s="33"/>
      <c r="N11" s="33">
        <f>C33*'E Balans VL '!Y21/100/3.6*1000000</f>
        <v>0.82796359857535051</v>
      </c>
      <c r="O11" s="33"/>
      <c r="P11" s="33"/>
      <c r="R11" s="32"/>
    </row>
    <row r="12" spans="1:18">
      <c r="A12" s="6" t="s">
        <v>36</v>
      </c>
      <c r="B12" s="37">
        <f t="shared" si="0"/>
        <v>754.38930000000005</v>
      </c>
      <c r="C12" s="33"/>
      <c r="D12" s="37">
        <f>IF( ISERROR(IND_min_gas_kWh/1000),0,IND_min_gas_kWh/1000)*0.902</f>
        <v>0</v>
      </c>
      <c r="E12" s="33">
        <f>C34*'E Balans VL '!I22/100/3.6*1000000</f>
        <v>2.2847039394876192</v>
      </c>
      <c r="F12" s="33">
        <f>C34*'E Balans VL '!L22/100/3.6*1000000+C34*'E Balans VL '!N22/100/3.6*1000000</f>
        <v>23.575314200718438</v>
      </c>
      <c r="G12" s="34"/>
      <c r="H12" s="33"/>
      <c r="I12" s="33"/>
      <c r="J12" s="40">
        <f>C34*'E Balans VL '!D22/100/3.6*1000000+C34*'E Balans VL '!E22/100/3.6*1000000</f>
        <v>1.1185918661047507</v>
      </c>
      <c r="K12" s="33"/>
      <c r="L12" s="33"/>
      <c r="M12" s="33"/>
      <c r="N12" s="33">
        <f>C34*'E Balans VL '!Y22/100/3.6*1000000</f>
        <v>0</v>
      </c>
      <c r="O12" s="33"/>
      <c r="P12" s="33"/>
      <c r="R12" s="32"/>
    </row>
    <row r="13" spans="1:18">
      <c r="A13" s="6" t="s">
        <v>38</v>
      </c>
      <c r="B13" s="37">
        <f t="shared" si="0"/>
        <v>1466.605</v>
      </c>
      <c r="C13" s="33"/>
      <c r="D13" s="37">
        <f>IF( ISERROR(IND_papier_gas_kWh/1000),0,IND_papier_gas_kWh/1000)*0.902</f>
        <v>589.12499505238543</v>
      </c>
      <c r="E13" s="33">
        <f>C35*'E Balans VL '!I23/100/3.6*1000000</f>
        <v>3.0374379484537792</v>
      </c>
      <c r="F13" s="33">
        <f>C35*'E Balans VL '!L23/100/3.6*1000000+C35*'E Balans VL '!N23/100/3.6*1000000</f>
        <v>29.085921301220406</v>
      </c>
      <c r="G13" s="34"/>
      <c r="H13" s="33"/>
      <c r="I13" s="33"/>
      <c r="J13" s="40">
        <f>C35*'E Balans VL '!D23/100/3.6*1000000+C35*'E Balans VL '!E23/100/3.6*1000000</f>
        <v>0</v>
      </c>
      <c r="K13" s="33"/>
      <c r="L13" s="33"/>
      <c r="M13" s="33"/>
      <c r="N13" s="33">
        <f>C35*'E Balans VL '!Y23/100/3.6*1000000</f>
        <v>101.71646977371304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24923.303</v>
      </c>
      <c r="C15" s="33"/>
      <c r="D15" s="37">
        <f>IF( ISERROR(IND_rest_gas_kWh/1000),0,IND_rest_gas_kWh/1000)*0.902</f>
        <v>34465.034028595153</v>
      </c>
      <c r="E15" s="33">
        <f>C37*'E Balans VL '!I15/100/3.6*1000000</f>
        <v>1267.9259437699579</v>
      </c>
      <c r="F15" s="33">
        <f>C37*'E Balans VL '!L15/100/3.6*1000000+C37*'E Balans VL '!N15/100/3.6*1000000</f>
        <v>5680.9584734126629</v>
      </c>
      <c r="G15" s="34"/>
      <c r="H15" s="33"/>
      <c r="I15" s="33"/>
      <c r="J15" s="40">
        <f>C37*'E Balans VL '!D15/100/3.6*1000000+C37*'E Balans VL '!E15/100/3.6*1000000</f>
        <v>104.56148976879899</v>
      </c>
      <c r="K15" s="33"/>
      <c r="L15" s="33"/>
      <c r="M15" s="33"/>
      <c r="N15" s="33">
        <f>C37*'E Balans VL '!Y15/100/3.6*1000000</f>
        <v>1357.7466995986399</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62894.333560000006</v>
      </c>
      <c r="C18" s="21">
        <f>C5+C16</f>
        <v>0</v>
      </c>
      <c r="D18" s="21">
        <f>MAX((D5+D16),0)</f>
        <v>57882.759170335397</v>
      </c>
      <c r="E18" s="21">
        <f>MAX((E5+E16),0)</f>
        <v>4160.3556365553932</v>
      </c>
      <c r="F18" s="21">
        <f>MAX((F5+F16),0)</f>
        <v>43824.873336644581</v>
      </c>
      <c r="G18" s="21"/>
      <c r="H18" s="21"/>
      <c r="I18" s="21"/>
      <c r="J18" s="21">
        <f>MAX((J5+J16),0)</f>
        <v>450.73609231344722</v>
      </c>
      <c r="K18" s="21"/>
      <c r="L18" s="21">
        <f>MAX((L5+L16),0)</f>
        <v>0</v>
      </c>
      <c r="M18" s="21"/>
      <c r="N18" s="21">
        <f>MAX((N5+N16),0)</f>
        <v>10083.463886884432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0.21488178308795935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13514.846541501684</v>
      </c>
      <c r="C22" s="23">
        <f ca="1">C18*C20</f>
        <v>0</v>
      </c>
      <c r="D22" s="23">
        <f>D18*D20</f>
        <v>11692.31735240775</v>
      </c>
      <c r="E22" s="23">
        <f>E18*E20</f>
        <v>944.40072949807427</v>
      </c>
      <c r="F22" s="23">
        <f>F18*F20</f>
        <v>11701.241180884104</v>
      </c>
      <c r="G22" s="23"/>
      <c r="H22" s="23"/>
      <c r="I22" s="23"/>
      <c r="J22" s="23">
        <f>J18*J20</f>
        <v>159.5605766789603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12409.517</v>
      </c>
      <c r="C30" s="39">
        <f>IF(ISERROR(B30*3.6/1000000/'E Balans VL '!Z18*100),0,B30*3.6/1000000/'E Balans VL '!Z18*100)</f>
        <v>1.7369188282773431</v>
      </c>
      <c r="D30" s="237" t="s">
        <v>691</v>
      </c>
    </row>
    <row r="31" spans="1:18">
      <c r="A31" s="6" t="s">
        <v>32</v>
      </c>
      <c r="B31" s="37">
        <f>IF( ISERROR(IND_ander_ele_kWh/1000),0,IND_ander_ele_kWh/1000)</f>
        <v>8835.2459999999992</v>
      </c>
      <c r="C31" s="39">
        <f>IF(ISERROR(B31*3.6/1000000/'E Balans VL '!Z19*100),0,B31*3.6/1000000/'E Balans VL '!Z19*100)</f>
        <v>0.38671728413946643</v>
      </c>
      <c r="D31" s="237" t="s">
        <v>691</v>
      </c>
    </row>
    <row r="32" spans="1:18">
      <c r="A32" s="171" t="s">
        <v>40</v>
      </c>
      <c r="B32" s="37">
        <f>IF( ISERROR(IND_voed_ele_kWh/1000),0,IND_voed_ele_kWh/1000)</f>
        <v>14417.419</v>
      </c>
      <c r="C32" s="39">
        <f>IF(ISERROR(B32*3.6/1000000/'E Balans VL '!Z20*100),0,B32*3.6/1000000/'E Balans VL '!Z20*100)</f>
        <v>3.5692741655310076</v>
      </c>
      <c r="D32" s="237" t="s">
        <v>691</v>
      </c>
    </row>
    <row r="33" spans="1:5">
      <c r="A33" s="171" t="s">
        <v>39</v>
      </c>
      <c r="B33" s="37">
        <f>IF( ISERROR(IND_textiel_ele_kWh/1000),0,IND_textiel_ele_kWh/1000)</f>
        <v>87.854259999999996</v>
      </c>
      <c r="C33" s="39">
        <f>IF(ISERROR(B33*3.6/1000000/'E Balans VL '!Z21*100),0,B33*3.6/1000000/'E Balans VL '!Z21*100)</f>
        <v>9.8996275349523301E-3</v>
      </c>
      <c r="D33" s="237" t="s">
        <v>691</v>
      </c>
    </row>
    <row r="34" spans="1:5">
      <c r="A34" s="171" t="s">
        <v>36</v>
      </c>
      <c r="B34" s="37">
        <f>IF( ISERROR(IND_min_ele_kWh/1000),0,IND_min_ele_kWh/1000)</f>
        <v>754.38930000000005</v>
      </c>
      <c r="C34" s="39">
        <f>IF(ISERROR(B34*3.6/1000000/'E Balans VL '!Z22*100),0,B34*3.6/1000000/'E Balans VL '!Z22*100)</f>
        <v>2.1406490591067619E-2</v>
      </c>
      <c r="D34" s="237" t="s">
        <v>691</v>
      </c>
    </row>
    <row r="35" spans="1:5">
      <c r="A35" s="171" t="s">
        <v>38</v>
      </c>
      <c r="B35" s="37">
        <f>IF( ISERROR(IND_papier_ele_kWh/1000),0,IND_papier_ele_kWh/1000)</f>
        <v>1466.605</v>
      </c>
      <c r="C35" s="39">
        <f>IF(ISERROR(B35*3.6/1000000/'E Balans VL '!Z22*100),0,B35*3.6/1000000/'E Balans VL '!Z22*100)</f>
        <v>4.1616266473176018E-2</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24923.303</v>
      </c>
      <c r="C37" s="39">
        <f>IF(ISERROR(B37*3.6/1000000/'E Balans VL '!Z15*100),0,B37*3.6/1000000/'E Balans VL '!Z15*100)</f>
        <v>0.18480202469496004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637.13080000000002</v>
      </c>
      <c r="C5" s="17">
        <f>'Eigen informatie GS &amp; warmtenet'!B60</f>
        <v>0</v>
      </c>
      <c r="D5" s="30">
        <f>IF(ISERROR(SUM(LB_lb_gas_kWh,LB_rest_gas_kWh)/1000),0,SUM(LB_lb_gas_kWh,LB_rest_gas_kWh)/1000)*0.902</f>
        <v>419.71118505893452</v>
      </c>
      <c r="E5" s="17">
        <f>B17*'E Balans VL '!I25/3.6*1000000/100</f>
        <v>5.9013723245088556</v>
      </c>
      <c r="F5" s="17">
        <f>B17*('E Balans VL '!L25/3.6*1000000+'E Balans VL '!N25/3.6*1000000)/100</f>
        <v>1616.5222128928444</v>
      </c>
      <c r="G5" s="18"/>
      <c r="H5" s="17"/>
      <c r="I5" s="17"/>
      <c r="J5" s="17">
        <f>('E Balans VL '!D25+'E Balans VL '!E25)/3.6*1000000*landbouw!B17/100</f>
        <v>97.679262040480396</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637.13080000000002</v>
      </c>
      <c r="C8" s="21">
        <f>C5+C6</f>
        <v>0</v>
      </c>
      <c r="D8" s="21">
        <f>MAX((D5+D6),0)</f>
        <v>419.71118505893452</v>
      </c>
      <c r="E8" s="21">
        <f>MAX((E5+E6),0)</f>
        <v>5.9013723245088556</v>
      </c>
      <c r="F8" s="21">
        <f>MAX((F5+F6),0)</f>
        <v>1616.5222128928444</v>
      </c>
      <c r="G8" s="21"/>
      <c r="H8" s="21"/>
      <c r="I8" s="21"/>
      <c r="J8" s="21">
        <f>MAX((J5+J6),0)</f>
        <v>97.679262040480396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0.21488178308795935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136.90780236425803</v>
      </c>
      <c r="C12" s="23">
        <f ca="1">C8*C10</f>
        <v>0</v>
      </c>
      <c r="D12" s="23">
        <f>D8*D10</f>
        <v>84.781659381904774</v>
      </c>
      <c r="E12" s="23">
        <f>E8*E10</f>
        <v>1.3396115176635102</v>
      </c>
      <c r="F12" s="23">
        <f>F8*F10</f>
        <v>431.6114308423895</v>
      </c>
      <c r="G12" s="23"/>
      <c r="H12" s="23"/>
      <c r="I12" s="23"/>
      <c r="J12" s="23">
        <f>J8*J10</f>
        <v>34.578458762330058</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9.0586490251934104E-2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103.07433589574048</v>
      </c>
      <c r="C26" s="247">
        <f>B26*'GWP N2O_CH4'!B5</f>
        <v>2164.5610538105498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21.804147752241082</v>
      </c>
      <c r="C27" s="247">
        <f>B27*'GWP N2O_CH4'!B5</f>
        <v>457.88710279706271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1.368777134001387</v>
      </c>
      <c r="C28" s="247">
        <f>B28*'GWP N2O_CH4'!B4</f>
        <v>424.32091154042996</v>
      </c>
      <c r="D28" s="50"/>
    </row>
    <row r="29" spans="1:4">
      <c r="A29" s="41" t="s">
        <v>276</v>
      </c>
      <c r="B29" s="247">
        <f>B34*'ha_N2O bodem landbouw'!B4</f>
        <v>5.3289286538094496</v>
      </c>
      <c r="C29" s="247">
        <f>B29*'GWP N2O_CH4'!B4</f>
        <v>1651.9678826809293</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1.1951848156594451E-3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9.2428618149469684E-5</v>
      </c>
      <c r="C5" s="438" t="s">
        <v>210</v>
      </c>
      <c r="D5" s="423">
        <f>SUM(D6:D11)</f>
        <v>1.8514859384908937E-4</v>
      </c>
      <c r="E5" s="423">
        <f>SUM(E6:E11)</f>
        <v>1.839531812203207E-3</v>
      </c>
      <c r="F5" s="436" t="s">
        <v>210</v>
      </c>
      <c r="G5" s="423">
        <f>SUM(G6:G11)</f>
        <v>0.64988010880889513</v>
      </c>
      <c r="H5" s="423">
        <f>SUM(H6:H11)</f>
        <v>0.11308847175320633</v>
      </c>
      <c r="I5" s="438" t="s">
        <v>210</v>
      </c>
      <c r="J5" s="438" t="s">
        <v>210</v>
      </c>
      <c r="K5" s="438" t="s">
        <v>210</v>
      </c>
      <c r="L5" s="438" t="s">
        <v>210</v>
      </c>
      <c r="M5" s="423">
        <f>SUM(M6:M11)</f>
        <v>4.1127719746415381E-2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5.5665755162319595E-5</v>
      </c>
      <c r="C6" s="424"/>
      <c r="D6" s="866">
        <f>vkm_GW_PW*SUMIFS(TableVerdeelsleutelVkm[CNG],TableVerdeelsleutelVkm[Voertuigtype],"Lichte voertuigen")*SUMIFS(TableECFTransport[EnergieConsumptieFactor (PJ per km)],TableECFTransport[Index],CONCATENATE($A6,"_CNG_CNG"))</f>
        <v>9.7135879234536696E-5</v>
      </c>
      <c r="E6" s="866">
        <f>vkm_GW_PW*SUMIFS(TableVerdeelsleutelVkm[LPG],TableVerdeelsleutelVkm[Voertuigtype],"Lichte voertuigen")*SUMIFS(TableECFTransport[EnergieConsumptieFactor (PJ per km)],TableECFTransport[Index],CONCATENATE($A6,"_LPG_LPG"))</f>
        <v>9.4080873968750115E-4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0.2211062422595334</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5.9485452679136054E-2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1.4633587209979442E-2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0.14959439252330478</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2.9011107727144805E-6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8.6731446817089383E-3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1.8881090872628251E-5</v>
      </c>
      <c r="C8" s="424"/>
      <c r="D8" s="426">
        <f>vkm_NGW_PW*SUMIFS(TableVerdeelsleutelVkm[CNG],TableVerdeelsleutelVkm[Voertuigtype],"Lichte voertuigen")*SUMIFS(TableECFTransport[EnergieConsumptieFactor (PJ per km)],TableECFTransport[Index],CONCATENATE($A8,"_CNG_CNG"))</f>
        <v>5.6417673427832845E-5</v>
      </c>
      <c r="E8" s="426">
        <f>vkm_NGW_PW*SUMIFS(TableVerdeelsleutelVkm[LPG],TableVerdeelsleutelVkm[Voertuigtype],"Lichte voertuigen")*SUMIFS(TableECFTransport[EnergieConsumptieFactor (PJ per km)],TableECFTransport[Index],CONCATENATE($A8,"_LPG_LPG"))</f>
        <v>5.171190927132285E-4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0.11407740463732312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3.335935825094772E-2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7.6314392191774889E-3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6.6469156653457623E-2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1.5967078590594462E-6</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3.853740816564056E-3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1.7881772114521848E-5</v>
      </c>
      <c r="C10" s="424"/>
      <c r="D10" s="426">
        <f>vkm_SW_PW*SUMIFS(TableVerdeelsleutelVkm[CNG],TableVerdeelsleutelVkm[Voertuigtype],"Lichte voertuigen")*SUMIFS(TableECFTransport[EnergieConsumptieFactor (PJ per km)],TableECFTransport[Index],CONCATENATE($A10,"_CNG_CNG"))</f>
        <v>3.1595041186719825E-5</v>
      </c>
      <c r="E10" s="426">
        <f>vkm_SW_PW*SUMIFS(TableVerdeelsleutelVkm[LPG],TableVerdeelsleutelVkm[Voertuigtype],"Lichte voertuigen")*SUMIFS(TableECFTransport[EnergieConsumptieFactor (PJ per km)],TableECFTransport[Index],CONCATENATE($A10,"_LPG_LPG"))</f>
        <v>3.8160397980247738E-4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8.0640966367031289E-2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2.0238792265819056E-2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5.2926747784989925E-3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1.7991946368244909E-2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3.7073867173279202E-7</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1.043133040486462E-3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25.674616152630467</v>
      </c>
      <c r="C14" s="21"/>
      <c r="D14" s="21">
        <f t="shared" ref="D14:M14" si="0">((D5)*10^9/3600)+D12</f>
        <v>51.430164958080383</v>
      </c>
      <c r="E14" s="21">
        <f t="shared" si="0"/>
        <v>510.98105894533529</v>
      </c>
      <c r="F14" s="21"/>
      <c r="G14" s="21">
        <f t="shared" si="0"/>
        <v>180522.25244691531</v>
      </c>
      <c r="H14" s="21">
        <f t="shared" si="0"/>
        <v>31413.464375890646</v>
      </c>
      <c r="I14" s="21"/>
      <c r="J14" s="21"/>
      <c r="K14" s="21"/>
      <c r="L14" s="21"/>
      <c r="M14" s="21">
        <f t="shared" si="0"/>
        <v>11424.366596226495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0.21488178308795935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5.5170072989761572</v>
      </c>
      <c r="C18" s="23"/>
      <c r="D18" s="23">
        <f t="shared" ref="D18:M18" si="1">D14*D16</f>
        <v>10.388893321532239</v>
      </c>
      <c r="E18" s="23">
        <f t="shared" si="1"/>
        <v>115.99270038059112</v>
      </c>
      <c r="F18" s="23"/>
      <c r="G18" s="23">
        <f t="shared" si="1"/>
        <v>48199.441403326389</v>
      </c>
      <c r="H18" s="23">
        <f t="shared" si="1"/>
        <v>7821.9526295967707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6.4102926705615739E-3</v>
      </c>
      <c r="C50" s="319">
        <f t="shared" ref="C50:P50" si="2">SUM(C51:C52)</f>
        <v>0</v>
      </c>
      <c r="D50" s="319">
        <f t="shared" si="2"/>
        <v>0</v>
      </c>
      <c r="E50" s="319">
        <f t="shared" si="2"/>
        <v>0</v>
      </c>
      <c r="F50" s="319">
        <f t="shared" si="2"/>
        <v>0</v>
      </c>
      <c r="G50" s="319">
        <f t="shared" si="2"/>
        <v>3.259584530298118E-2</v>
      </c>
      <c r="H50" s="319">
        <f t="shared" si="2"/>
        <v>0</v>
      </c>
      <c r="I50" s="319">
        <f t="shared" si="2"/>
        <v>0</v>
      </c>
      <c r="J50" s="319">
        <f t="shared" si="2"/>
        <v>0</v>
      </c>
      <c r="K50" s="319">
        <f t="shared" si="2"/>
        <v>0</v>
      </c>
      <c r="L50" s="319">
        <f t="shared" si="2"/>
        <v>0</v>
      </c>
      <c r="M50" s="319">
        <f t="shared" si="2"/>
        <v>1.8630793052868964E-3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3.259584530298118E-2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1.8630793052868964E-3</v>
      </c>
      <c r="N51" s="321"/>
      <c r="O51" s="321"/>
      <c r="P51" s="324"/>
    </row>
    <row r="52" spans="1:18">
      <c r="A52" s="4" t="s">
        <v>329</v>
      </c>
      <c r="B52" s="867">
        <f>vkm_tram*SUMIFS(TableECFTransport[EnergieConsumptieFactor (PJ per km)],TableECFTransport[Index],"Tram_gemiddeld_Electric_Electric")</f>
        <v>6.4102926705615739E-3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1780.6368529337703</v>
      </c>
      <c r="C54" s="21">
        <f t="shared" ref="C54:P54" si="3">(C50)*10^9/3600</f>
        <v>0</v>
      </c>
      <c r="D54" s="21">
        <f t="shared" si="3"/>
        <v>0</v>
      </c>
      <c r="E54" s="21">
        <f t="shared" si="3"/>
        <v>0</v>
      </c>
      <c r="F54" s="21">
        <f t="shared" si="3"/>
        <v>0</v>
      </c>
      <c r="G54" s="21">
        <f t="shared" si="3"/>
        <v>9054.4014730503277</v>
      </c>
      <c r="H54" s="21">
        <f t="shared" si="3"/>
        <v>0</v>
      </c>
      <c r="I54" s="21">
        <f t="shared" si="3"/>
        <v>0</v>
      </c>
      <c r="J54" s="21">
        <f t="shared" si="3"/>
        <v>0</v>
      </c>
      <c r="K54" s="21">
        <f t="shared" si="3"/>
        <v>0</v>
      </c>
      <c r="L54" s="21">
        <f t="shared" si="3"/>
        <v>0</v>
      </c>
      <c r="M54" s="21">
        <f t="shared" si="3"/>
        <v>517.52202924636015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0.21488178308795935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382.62642199054102</v>
      </c>
      <c r="C58" s="23">
        <f t="shared" ref="C58:P58" ca="1" si="4">C54*C56</f>
        <v>0</v>
      </c>
      <c r="D58" s="23">
        <f t="shared" si="4"/>
        <v>0</v>
      </c>
      <c r="E58" s="23">
        <f t="shared" si="4"/>
        <v>0</v>
      </c>
      <c r="F58" s="23">
        <f t="shared" si="4"/>
        <v>0</v>
      </c>
      <c r="G58" s="23">
        <f t="shared" si="4"/>
        <v>2417.5251933044378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10421.07136347015</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225</v>
      </c>
      <c r="C8" s="545">
        <f>B48</f>
        <v>264.70588235294116</v>
      </c>
      <c r="D8" s="1022"/>
      <c r="E8" s="1022">
        <f>E48</f>
        <v>0</v>
      </c>
      <c r="F8" s="1023"/>
      <c r="G8" s="546"/>
      <c r="H8" s="1022">
        <f>I48</f>
        <v>0</v>
      </c>
      <c r="I8" s="1022">
        <f>G48+F48</f>
        <v>0</v>
      </c>
      <c r="J8" s="1022">
        <f>H48+D48+C48</f>
        <v>0</v>
      </c>
      <c r="K8" s="1022"/>
      <c r="L8" s="1022"/>
      <c r="M8" s="1022"/>
      <c r="N8" s="547"/>
      <c r="O8" s="548">
        <f>C8*$C$12+D8*$D$12+E8*$E$12+F8*$F$12+G8*$G$12+H8*$H$12+I8*$I$12+J8*$J$12</f>
        <v>53.470588235294116</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10646.07136347015</v>
      </c>
      <c r="C10" s="558">
        <f t="shared" ref="C10:L10" si="0">SUM(C8:C9)</f>
        <v>264.70588235294116</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53.470588235294116</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321.42857142857144</v>
      </c>
      <c r="C17" s="570">
        <f>B49</f>
        <v>378.15126050420173</v>
      </c>
      <c r="D17" s="571"/>
      <c r="E17" s="571">
        <f>E49</f>
        <v>0</v>
      </c>
      <c r="F17" s="1028"/>
      <c r="G17" s="572"/>
      <c r="H17" s="570">
        <f>I49</f>
        <v>0</v>
      </c>
      <c r="I17" s="571">
        <f>G49+F49</f>
        <v>0</v>
      </c>
      <c r="J17" s="571">
        <f>H49+D49+C49</f>
        <v>0</v>
      </c>
      <c r="K17" s="571"/>
      <c r="L17" s="571"/>
      <c r="M17" s="571"/>
      <c r="N17" s="1029"/>
      <c r="O17" s="573">
        <f>C17*$C$22+E17*$E$22+H17*$H$22+I17*$I$22+J17*$J$22+D17*$D$22+F17*$F$22+G17*$G$22+K17*$K$22+L17*$L$22</f>
        <v>76.386554621848759</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321.42857142857144</v>
      </c>
      <c r="C20" s="557">
        <f>SUM(C17:C19)</f>
        <v>378.15126050420173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76.386554621848759</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35013</v>
      </c>
      <c r="C28" s="771">
        <v>8400</v>
      </c>
      <c r="D28" s="628" t="s">
        <v>913</v>
      </c>
      <c r="E28" s="627" t="s">
        <v>914</v>
      </c>
      <c r="F28" s="627" t="s">
        <v>915</v>
      </c>
      <c r="G28" s="627" t="s">
        <v>916</v>
      </c>
      <c r="H28" s="627" t="s">
        <v>917</v>
      </c>
      <c r="I28" s="627" t="s">
        <v>918</v>
      </c>
      <c r="J28" s="770">
        <v>40590</v>
      </c>
      <c r="K28" s="770">
        <v>41030</v>
      </c>
      <c r="L28" s="627" t="s">
        <v>919</v>
      </c>
      <c r="M28" s="627">
        <v>50</v>
      </c>
      <c r="N28" s="627">
        <v>225</v>
      </c>
      <c r="O28" s="627">
        <v>321.42857142857144</v>
      </c>
      <c r="P28" s="627">
        <v>642.85714285714289</v>
      </c>
      <c r="Q28" s="627">
        <v>0</v>
      </c>
      <c r="R28" s="627">
        <v>0</v>
      </c>
      <c r="S28" s="627">
        <v>0</v>
      </c>
      <c r="T28" s="627">
        <v>0</v>
      </c>
      <c r="U28" s="627">
        <v>0</v>
      </c>
      <c r="V28" s="627">
        <v>0</v>
      </c>
      <c r="W28" s="627">
        <v>0</v>
      </c>
      <c r="X28" s="627">
        <v>1300</v>
      </c>
      <c r="Y28" s="627" t="s">
        <v>53</v>
      </c>
      <c r="Z28" s="629" t="s">
        <v>155</v>
      </c>
    </row>
    <row r="29" spans="1:26" s="565" customFormat="1">
      <c r="A29" s="583" t="s">
        <v>279</v>
      </c>
      <c r="B29" s="584"/>
      <c r="C29" s="584"/>
      <c r="D29" s="584"/>
      <c r="E29" s="584"/>
      <c r="F29" s="584"/>
      <c r="G29" s="584"/>
      <c r="H29" s="584"/>
      <c r="I29" s="584"/>
      <c r="J29" s="584"/>
      <c r="K29" s="584"/>
      <c r="L29" s="585"/>
      <c r="M29" s="585">
        <f>SUM(M28:M28)</f>
        <v>50</v>
      </c>
      <c r="N29" s="585">
        <f>SUM(N28:N28)</f>
        <v>225</v>
      </c>
      <c r="O29" s="585">
        <f>SUM(O28:O28)</f>
        <v>321.42857142857144</v>
      </c>
      <c r="P29" s="585">
        <f>SUM(P28:P28)</f>
        <v>642.85714285714289</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50</v>
      </c>
      <c r="N31" s="585">
        <f ca="1">SUMIF($Z$28:AD28,"tertiair",N28:N28)</f>
        <v>225</v>
      </c>
      <c r="O31" s="585">
        <f ca="1">SUMIF($Z$28:AE28,"tertiair",O28:O28)</f>
        <v>321.42857142857144</v>
      </c>
      <c r="P31" s="585">
        <f ca="1">SUMIF($Z$28:AF28,"tertiair",P28:P28)</f>
        <v>642.85714285714289</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264.70588235294116</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378.15126050420173</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2020-06-20T16:08:01Z</dcterms:modified>
</cp:coreProperties>
</file>