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L6" i="17" l="1"/>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J15" i="16"/>
  <c r="B7" i="48"/>
  <c r="C24" i="14"/>
  <c r="C26" i="14" s="1"/>
  <c r="E11" i="14"/>
  <c r="D4" i="48"/>
  <c r="D22" i="48" s="1"/>
  <c r="Q11" i="14"/>
  <c r="P4" i="48"/>
  <c r="P22" i="48"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N22" i="14"/>
  <c r="N27" i="14" s="1"/>
  <c r="N52" i="14"/>
  <c r="N61" i="14" s="1"/>
  <c r="N63"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<sst xmlns="http://schemas.openxmlformats.org/spreadsheetml/2006/main" count="2434" uniqueCount="913">
  <si>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</si>
  <si>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</si>
  <si>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</si>
  <si>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</si>
  <si>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</si>
  <si>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</si>
  <si>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</si>
  <si>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</si>
  <si>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</si>
  <si>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</si>
  <si>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</si>
  <si>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</si>
  <si>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</si>
  <si>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</si>
  <si>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</si>
  <si>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</si>
  <si>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</si>
  <si>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</si>
  <si>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</si>
  <si>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</si>
  <si>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</si>
  <si>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</si>
  <si>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</si>
  <si>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</si>
  <si>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</si>
  <si>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</si>
  <si>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</si>
  <si>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</si>
  <si>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</si>
  <si>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</si>
  <si>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</si>
  <si>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</si>
  <si>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</si>
  <si>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</si>
  <si>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</si>
  <si>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</si>
  <si>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</si>
  <si>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</si>
  <si>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</si>
  <si>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</si>
  <si>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</si>
  <si>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</si>
  <si>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</si>
  <si>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</si>
  <si>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</si>
  <si>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</si>
  <si>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</si>
  <si>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</si>
  <si>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</si>
  <si>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</si>
  <si>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</si>
  <si>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</si>
  <si>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</si>
  <si>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</si>
  <si>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</si>
  <si>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</si>
  <si>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</si>
  <si>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</si>
  <si>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</si>
  <si>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</si>
  <si>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</si>
  <si>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</si>
  <si>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</si>
  <si>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</si>
  <si>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</si>
  <si>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</si>
  <si>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</si>
  <si>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</si>
  <si>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</si>
  <si>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</si>
  <si>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</si>
  <si>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</si>
  <si>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</si>
  <si>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</si>
  <si>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</si>
  <si>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</si>
  <si>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</si>
  <si>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</si>
  <si>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</si>
  <si>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</si>
  <si>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</si>
  <si>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</si>
  <si>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</si>
  <si>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</si>
  <si>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</si>
  <si>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</si>
  <si>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</si>
  <si>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</si>
  <si>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</si>
  <si>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</si>
  <si>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</si>
  <si>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</si>
  <si>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</si>
  <si>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</si>
  <si>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</si>
  <si>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</si>
  <si>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</si>
  <si>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</si>
  <si>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</si>
  <si>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</si>
  <si>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</si>
  <si>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</si>
  <si>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</si>
  <si>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</si>
  <si>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</si>
  <si>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</si>
  <si>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</si>
  <si>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</si>
  <si>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</si>
  <si>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</si>
  <si>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</si>
  <si>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</si>
  <si>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</si>
  <si>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</si>
  <si>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</si>
  <si>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</si>
  <si>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</si>
  <si>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</si>
  <si>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</si>
  <si>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</si>
  <si>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</si>
  <si>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</si>
  <si>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</si>
  <si>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</si>
  <si>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</si>
  <si>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</si>
  <si>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</si>
  <si>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</si>
  <si>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</si>
  <si>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</si>
  <si>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</si>
  <si>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</si>
  <si>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</si>
  <si>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</si>
  <si>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</si>
  <si>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</si>
  <si>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</si>
  <si>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</si>
  <si>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</si>
  <si>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</si>
  <si>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</si>
  <si>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</si>
  <si>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</si>
  <si>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</si>
  <si>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</si>
  <si>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</si>
  <si>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</si>
  <si>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</si>
  <si>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</si>
  <si>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</si>
  <si>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</si>
  <si>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</si>
  <si>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</si>
  <si>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</si>
  <si>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</si>
  <si>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</si>
  <si>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</si>
  <si>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</si>
  <si>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</si>
  <si>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</si>
  <si>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</si>
  <si>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</si>
  <si>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</si>
  <si>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</si>
  <si>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</si>
  <si>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</si>
  <si>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</si>
  <si>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</si>
  <si>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</si>
  <si>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</si>
  <si>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</si>
  <si>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</si>
  <si>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</si>
  <si>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</si>
  <si>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</si>
  <si>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</si>
  <si>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</si>
  <si>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</si>
  <si>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</si>
  <si>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</si>
  <si>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</si>
  <si>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</si>
  <si>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</si>
  <si>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</si>
  <si>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</si>
  <si>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</si>
  <si>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</si>
  <si>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</si>
  <si>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</si>
  <si>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</si>
  <si>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</si>
  <si>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</si>
  <si>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</si>
  <si>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</si>
  <si>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</si>
  <si>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</si>
  <si>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</si>
  <si>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</si>
  <si>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</si>
  <si>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</si>
  <si>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</si>
  <si>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</si>
  <si>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</si>
  <si>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</si>
  <si>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</si>
  <si>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</si>
  <si>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</si>
  <si>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</si>
  <si>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</si>
  <si>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</si>
  <si>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</si>
  <si>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</si>
  <si>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</si>
  <si>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</si>
  <si>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</si>
  <si>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</si>
  <si>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</si>
  <si>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</si>
  <si>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</si>
  <si>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</si>
  <si>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</si>
  <si>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</si>
  <si>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</si>
  <si>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</si>
  <si>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</si>
  <si>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</si>
  <si>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</si>
  <si>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</si>
  <si>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</si>
  <si>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</si>
  <si>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</si>
  <si>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</si>
  <si>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</si>
  <si>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</si>
  <si>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</si>
  <si>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</si>
  <si>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</si>
  <si>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</si>
  <si>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</si>
  <si>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</si>
  <si>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</si>
  <si>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</si>
  <si>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</si>
  <si>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</si>
  <si>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</si>
  <si>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</si>
  <si>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</si>
  <si>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</si>
  <si>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</si>
  <si>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</si>
  <si>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</si>
  <si>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</si>
  <si>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</si>
  <si>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</si>
  <si>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</si>
  <si>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</si>
  <si>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</si>
  <si>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</si>
  <si>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</si>
  <si>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</si>
  <si>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</si>
  <si>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</si>
  <si>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</si>
  <si>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</si>
  <si>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</si>
  <si>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</si>
  <si>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</si>
  <si>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</si>
  <si>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</si>
  <si>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</si>
  <si>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</si>
  <si>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</si>
  <si>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</si>
  <si>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</si>
  <si>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</si>
  <si>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</si>
  <si>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</si>
  <si>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</si>
  <si>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</si>
  <si>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</si>
  <si>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</si>
  <si>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</si>
  <si>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</si>
  <si>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</si>
  <si>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</si>
  <si>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</si>
  <si>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</si>
  <si>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</si>
  <si>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</si>
  <si>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</si>
  <si>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</si>
  <si>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</si>
  <si>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</si>
  <si>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</si>
  <si>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</si>
  <si>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</si>
  <si>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</si>
  <si>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</si>
  <si>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</si>
  <si>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</si>
  <si>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</si>
  <si>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</si>
  <si>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</si>
  <si>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</si>
  <si>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</si>
  <si>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</si>
  <si>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</si>
  <si>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</si>
  <si>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</si>
  <si>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</si>
  <si>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</si>
  <si>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</si>
  <si>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</si>
  <si>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</si>
  <si>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</si>
  <si>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</si>
  <si>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</si>
  <si>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</si>
  <si>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</si>
  <si>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</si>
  <si>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</si>
  <si>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</si>
  <si>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</si>
  <si>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</si>
  <si>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</si>
  <si>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</si>
  <si>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</si>
  <si>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</si>
  <si>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</si>
  <si>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</si>
  <si>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</si>
  <si>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</si>
  <si>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</si>
  <si>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</si>
  <si>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</si>
  <si>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</si>
  <si>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</si>
  <si>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</si>
  <si>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</si>
  <si>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</si>
  <si>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</si>
  <si>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</si>
  <si>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</si>
  <si>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</si>
  <si>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</si>
  <si>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</si>
  <si>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</si>
  <si>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</si>
  <si>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</si>
  <si>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</si>
  <si>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</si>
  <si>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</si>
  <si>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</si>
  <si>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</si>
  <si>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</si>
  <si>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</si>
  <si>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</si>
  <si>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</si>
  <si>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</si>
  <si>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</si>
  <si>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</si>
  <si>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</si>
  <si>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</si>
  <si>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</si>
  <si>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</si>
  <si>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</si>
  <si>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</si>
  <si>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</si>
  <si>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</si>
  <si>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</si>
  <si>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</si>
  <si>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</si>
  <si>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</si>
  <si>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</si>
  <si>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</si>
  <si>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</si>
  <si>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</si>
  <si>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</si>
  <si>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</si>
  <si>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</si>
  <si>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</si>
  <si>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</si>
  <si>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</si>
  <si>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</si>
  <si>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</si>
  <si>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</si>
  <si>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</si>
  <si>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</si>
  <si>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</si>
  <si>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</si>
  <si>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</si>
  <si>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</si>
  <si>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</si>
  <si>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</si>
  <si>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</si>
  <si>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</si>
  <si>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</si>
  <si>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</si>
  <si>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</si>
  <si>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</si>
  <si>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</si>
  <si>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</si>
  <si>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</si>
  <si>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</si>
  <si>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</si>
  <si>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</si>
  <si>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</si>
  <si>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</si>
  <si>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</si>
  <si>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</si>
  <si>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</si>
  <si>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</si>
  <si>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</si>
  <si>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</si>
  <si>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</si>
  <si>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</si>
  <si>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</si>
  <si>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</si>
  <si>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</si>
  <si>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</si>
  <si>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</si>
  <si>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</si>
  <si>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</si>
  <si>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</si>
  <si>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</si>
  <si>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</si>
  <si>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</si>
  <si>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</si>
  <si>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</si>
  <si>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</si>
  <si>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</si>
  <si>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</si>
  <si>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</si>
  <si>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</si>
  <si>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</si>
  <si>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</si>
  <si>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</si>
  <si>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</si>
  <si>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</si>
  <si>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</si>
  <si>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</si>
  <si>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</si>
  <si>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</si>
  <si>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</si>
  <si>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</si>
  <si>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</si>
  <si>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</si>
  <si>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</si>
  <si>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</si>
  <si>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</si>
  <si>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</si>
  <si>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</si>
  <si>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</si>
  <si>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</si>
  <si>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</si>
  <si>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</si>
  <si>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</si>
  <si>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</si>
  <si>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</si>
  <si>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</si>
  <si>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</si>
  <si>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</si>
  <si>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</si>
  <si>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</si>
  <si>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</si>
  <si>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</si>
  <si>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</si>
  <si>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</si>
  <si>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</si>
  <si>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</si>
  <si>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</si>
  <si>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</si>
  <si>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</si>
  <si>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</si>
  <si>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</si>
  <si>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</si>
  <si>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</si>
  <si>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</si>
  <si>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</si>
  <si>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</si>
  <si>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</si>
  <si>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</si>
  <si>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</si>
  <si>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</si>
  <si>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</si>
  <si>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</si>
  <si>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</si>
  <si>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</si>
  <si>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</si>
  <si>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</si>
  <si>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</si>
  <si>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</si>
  <si>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</si>
  <si>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</si>
  <si>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</si>
  <si>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</si>
  <si>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</si>
  <si>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</si>
  <si>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</si>
  <si>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</si>
  <si>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</si>
  <si>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</si>
  <si>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</si>
  <si>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</si>
  <si>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</si>
  <si>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</si>
  <si>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</si>
  <si>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</si>
  <si>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</si>
  <si>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</si>
  <si>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</si>
  <si>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</si>
  <si>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</si>
  <si>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</si>
  <si>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</si>
  <si>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</si>
  <si>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</si>
  <si>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</si>
  <si>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</si>
  <si>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</si>
  <si>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</si>
  <si>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</si>
  <si>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</si>
  <si>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</si>
  <si>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</si>
  <si>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</si>
  <si>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</si>
  <si>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</si>
  <si>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</si>
  <si>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</si>
  <si>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</si>
  <si>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</si>
  <si>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</si>
  <si>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</si>
  <si>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</si>
  <si>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</si>
  <si>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</si>
  <si>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</si>
  <si>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</si>
  <si>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</si>
  <si>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</si>
  <si>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</si>
  <si>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</si>
  <si>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</si>
  <si>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</si>
  <si>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</si>
  <si>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</si>
  <si>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</si>
  <si>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</si>
  <si>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</si>
  <si>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</si>
  <si>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</si>
  <si>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</si>
  <si>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</si>
  <si>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</si>
  <si>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</si>
  <si>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</si>
  <si>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</si>
  <si>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</si>
  <si>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</si>
  <si>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</si>
  <si>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</si>
  <si>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</si>
  <si>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</si>
  <si>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</si>
  <si>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</si>
  <si>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</si>
  <si>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</si>
  <si>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</si>
  <si>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</si>
  <si>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</si>
  <si>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</si>
  <si>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</si>
  <si>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</si>
  <si>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</si>
  <si>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</si>
  <si>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</si>
  <si>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</si>
  <si>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</si>
  <si>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</si>
  <si>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</si>
  <si>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</si>
  <si>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</si>
  <si>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</si>
  <si>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</si>
  <si>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</si>
  <si>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</si>
  <si>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</si>
  <si>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</si>
  <si>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</si>
  <si>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</si>
  <si>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</si>
  <si>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</si>
  <si>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</si>
  <si>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</si>
  <si>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</si>
  <si>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</si>
  <si>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</si>
  <si>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</si>
  <si>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</si>
  <si>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</si>
  <si>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</si>
  <si>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</si>
  <si>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</si>
  <si>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</si>
  <si>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</si>
  <si>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</si>
  <si>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</si>
  <si>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</si>
  <si>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</si>
  <si>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</si>
  <si>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</si>
  <si>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</si>
  <si>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</si>
  <si>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</si>
  <si>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</si>
  <si>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</si>
  <si>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</si>
  <si>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</si>
  <si>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</si>
  <si>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</si>
  <si>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</si>
  <si>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</si>
  <si>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</si>
  <si>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</si>
  <si>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</si>
  <si>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</si>
  <si>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</si>
  <si>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</si>
  <si>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</si>
  <si>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</si>
  <si>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</si>
  <si>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</si>
  <si>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</si>
  <si>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</si>
  <si>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</si>
  <si>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</si>
  <si>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</si>
  <si>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</si>
  <si>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</si>
  <si>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</si>
  <si>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</si>
  <si>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</si>
  <si>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</si>
  <si>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</si>
  <si>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</si>
  <si>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</si>
  <si>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</si>
  <si>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</si>
  <si>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</si>
  <si>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</si>
  <si>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</si>
  <si>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</si>
  <si>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</si>
  <si>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</si>
  <si>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</si>
  <si>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</si>
  <si>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</si>
  <si>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</si>
  <si>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</si>
  <si>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</si>
  <si>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</si>
  <si>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</si>
  <si>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</si>
  <si>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</si>
  <si>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</si>
  <si>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</si>
  <si>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</si>
  <si>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</si>
  <si>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</si>
  <si>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</si>
  <si>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</si>
  <si>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</si>
  <si>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</si>
  <si>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</si>
  <si>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</si>
  <si>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</si>
  <si>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</si>
  <si>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</si>
  <si>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</si>
  <si>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</si>
  <si>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</si>
  <si>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</si>
  <si>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</si>
  <si>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</si>
  <si>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</si>
  <si>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</si>
  <si>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</si>
  <si>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</si>
  <si>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</si>
  <si>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</si>
  <si>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</si>
  <si>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</si>
  <si>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</si>
  <si>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</si>
  <si>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</si>
  <si>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</si>
  <si>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</si>
  <si>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</si>
  <si>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</si>
  <si>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</si>
  <si>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</si>
  <si>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</si>
  <si>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</si>
  <si>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</si>
  <si>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</si>
  <si>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</si>
  <si>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</si>
  <si>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</si>
  <si>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</si>
  <si>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</si>
  <si>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</si>
  <si>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</si>
  <si>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</si>
  <si>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</si>
  <si>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</si>
  <si>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</si>
  <si>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</si>
  <si>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</si>
  <si>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</si>
  <si>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</si>
  <si>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</si>
  <si>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</si>
  <si>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</si>
  <si>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</si>
  <si>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</si>
  <si>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</si>
  <si>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</si>
  <si>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</si>
  <si>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</si>
  <si>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</si>
  <si>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</si>
  <si>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</si>
  <si>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</si>
  <si>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</si>
  <si>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</si>
  <si>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</si>
  <si>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</si>
  <si>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</si>
  <si>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</si>
  <si>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</si>
  <si>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</si>
  <si>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</si>
  <si>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</si>
  <si>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</si>
  <si>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</si>
  <si>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</si>
  <si>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</si>
  <si>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</si>
  <si>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</si>
  <si>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</si>
  <si>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</si>
  <si>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</si>
  <si>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</si>
  <si>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</si>
  <si>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</si>
  <si>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</si>
  <si>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</si>
  <si>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</si>
  <si>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</si>
  <si>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</si>
  <si>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</si>
  <si>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</si>
  <si>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</si>
  <si>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</si>
  <si>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</si>
  <si>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</si>
  <si>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</si>
  <si>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</si>
  <si>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</si>
  <si>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</si>
  <si>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</si>
  <si>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</si>
  <si>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</si>
  <si>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</si>
  <si>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</si>
  <si>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</si>
  <si>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</si>
  <si>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</si>
  <si>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</si>
  <si>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</si>
  <si>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</si>
  <si>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</si>
  <si>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</si>
  <si>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</si>
  <si>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</si>
  <si>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</si>
  <si>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</si>
  <si>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</si>
  <si>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</si>
  <si>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</si>
  <si>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</si>
  <si>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</si>
  <si>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</si>
  <si>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</si>
  <si>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</si>
  <si>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</si>
  <si>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</si>
  <si>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</si>
  <si>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</si>
  <si>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</si>
  <si>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</si>
  <si>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</si>
  <si>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</si>
  <si>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</si>
  <si>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</si>
  <si>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</si>
  <si>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</si>
  <si>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</si>
  <si>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</si>
  <si>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</si>
  <si>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</si>
  <si>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</si>
  <si>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</si>
  <si>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</si>
  <si>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</si>
  <si>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</si>
  <si>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</si>
  <si>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</si>
  <si>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</si>
  <si>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</si>
  <si>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</si>
  <si>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</si>
  <si>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</si>
  <si>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</si>
  <si>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</si>
  <si>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</si>
  <si>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</si>
  <si>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</si>
  <si>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</si>
  <si>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</si>
  <si>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</si>
  <si>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</si>
  <si>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</si>
  <si>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</si>
  <si>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</si>
  <si>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</si>
  <si>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</si>
  <si>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</si>
  <si>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</si>
  <si>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</si>
  <si>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</si>
  <si>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</si>
  <si>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</si>
  <si>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</si>
  <si>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</si>
  <si>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</si>
  <si>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</si>
  <si>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</si>
  <si>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</si>
  <si>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</si>
  <si>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</si>
  <si>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</si>
  <si>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</si>
  <si>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</si>
  <si>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</si>
  <si>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</si>
  <si>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</si>
  <si>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</si>
  <si>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</si>
  <si>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</si>
  <si>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</si>
  <si>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</si>
  <si>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</si>
  <si>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</si>
  <si>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</si>
  <si>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</si>
  <si>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</si>
  <si>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</si>
  <si>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</si>
  <si>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</si>
  <si>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</si>
  <si>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</si>
  <si>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</si>
  <si>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</si>
  <si>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</si>
  <si>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</si>
  <si>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</si>
  <si>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</si>
  <si>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</si>
  <si>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</si>
  <si>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</si>
  <si>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</si>
  <si>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</si>
  <si>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</si>
  <si>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</si>
  <si>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</si>
  <si>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</si>
  <si>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</si>
  <si>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</si>
  <si>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</si>
  <si>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</si>
  <si>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</si>
  <si>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</si>
  <si>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</si>
  <si>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</si>
  <si>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</si>
  <si>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</si>
  <si>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</si>
  <si>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</si>
  <si>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</si>
  <si>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</si>
  <si>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</si>
  <si>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</si>
  <si>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</si>
  <si>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</si>
  <si>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</si>
  <si>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34042</t>
  </si>
  <si>
    <t>ZWEVEGEM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</si>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</sst>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193249.88400242303</c:v>
                </c:pt>
                <c:pt idx="1">
                  <c:v>46344.990743775466</c:v>
                </c:pt>
                <c:pt idx="2">
                  <c:v>1944.8879999999999</c:v>
                </c:pt>
                <c:pt idx="3">
                  <c:v>8997.7540208953651</c:v>
                </c:pt>
                <c:pt idx="4">
                  <c:v>169875.00178489028</c:v>
                </c:pt>
                <c:pt idx="5">
                  <c:v>101106.9473438752</c:v>
                </c:pt>
                <c:pt idx="6">
                  <c:v>1168.442548518412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193249.88400242303</c:v>
                </c:pt>
                <c:pt idx="1">
                  <c:v>46344.990743775466</c:v>
                </c:pt>
                <c:pt idx="2">
                  <c:v>1944.8879999999999</c:v>
                </c:pt>
                <c:pt idx="3">
                  <c:v>8997.7540208953651</c:v>
                </c:pt>
                <c:pt idx="4">
                  <c:v>169875.00178489028</c:v>
                </c:pt>
                <c:pt idx="5">
                  <c:v>101106.9473438752</c:v>
                </c:pt>
                <c:pt idx="6">
                  <c:v>1168.442548518412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38722.793121398434</c:v>
                </c:pt>
                <c:pt idx="2">
                  <c:v>9071.9292302586855</c:v>
                </c:pt>
                <c:pt idx="3">
                  <c:v>375.88502200012806</c:v>
                </c:pt>
                <c:pt idx="4">
                  <c:v>2233.708152275407</c:v>
                </c:pt>
                <c:pt idx="5">
                  <c:v>34342.466127962514</c:v>
                </c:pt>
                <c:pt idx="6">
                  <c:v>25329.059732908234</c:v>
                </c:pt>
                <c:pt idx="7">
                  <c:v>295.10675647317237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38722.793121398434</c:v>
                </c:pt>
                <c:pt idx="2">
                  <c:v>9071.9292302586855</c:v>
                </c:pt>
                <c:pt idx="3">
                  <c:v>375.88502200012806</c:v>
                </c:pt>
                <c:pt idx="4">
                  <c:v>2233.708152275407</c:v>
                </c:pt>
                <c:pt idx="5">
                  <c:v>34342.466127962514</c:v>
                </c:pt>
                <c:pt idx="6">
                  <c:v>25329.059732908234</c:v>
                </c:pt>
                <c:pt idx="7">
                  <c:v>295.10675647317237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34042</v>
      </c>
      <c r="B6" s="391"/>
      <c r="C6" s="392"/>
    </row>
    <row r="7" spans="1:7" s="389" customFormat="1" ht="15.75" customHeight="1">
      <c r="A7" s="393" t="str">
        <f>txtMunicipality</f>
        <v>ZWEVEGEM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24975.262499999997</v>
      </c>
      <c r="D10" s="991">
        <f ca="1">tertiair!C16</f>
        <v>0</v>
      </c>
      <c r="E10" s="991">
        <f ca="1">tertiair!D16</f>
        <v>18351.391284016729</v>
      </c>
      <c r="F10" s="991">
        <f>tertiair!E16</f>
        <v>202.75566788170096</v>
      </c>
      <c r="G10" s="991">
        <f ca="1">tertiair!F16</f>
        <v>3250.4996400475461</v>
      </c>
      <c r="H10" s="991">
        <f>tertiair!G16</f>
        <v>0</v>
      </c>
      <c r="I10" s="991">
        <f>tertiair!H16</f>
        <v>0</v>
      </c>
      <c r="J10" s="991">
        <f>tertiair!I16</f>
        <v>0</v>
      </c>
      <c r="K10" s="991">
        <f>tertiair!J16</f>
        <v>0</v>
      </c>
      <c r="L10" s="991">
        <f>tertiair!K16</f>
        <v>0</v>
      </c>
      <c r="M10" s="991">
        <f ca="1">tertiair!L16</f>
        <v>0</v>
      </c>
      <c r="N10" s="991">
        <f>tertiair!M16</f>
        <v>0</v>
      </c>
      <c r="O10" s="991">
        <f ca="1">tertiair!N16</f>
        <v>1483.0863184961709</v>
      </c>
      <c r="P10" s="991">
        <f>tertiair!O16</f>
        <v>7.8166666666666664</v>
      </c>
      <c r="Q10" s="992">
        <f>tertiair!P16</f>
        <v>19.066666666666666</v>
      </c>
      <c r="R10" s="675">
        <f ca="1">SUM(C10:Q10)</f>
        <v>48289.878743775473</v>
      </c>
      <c r="S10" s="67"/>
    </row>
    <row r="11" spans="1:19" s="448" customFormat="1">
      <c r="A11" s="784" t="s">
        <v>224</v>
      </c>
      <c r="B11" s="789"/>
      <c r="C11" s="991">
        <f>huishoudens!B8</f>
        <v>45306.989975465869</v>
      </c>
      <c r="D11" s="991">
        <f>huishoudens!C8</f>
        <v>0</v>
      </c>
      <c r="E11" s="991">
        <f>huishoudens!D8</f>
        <v>66180.366626967341</v>
      </c>
      <c r="F11" s="991">
        <f>huishoudens!E8</f>
        <v>15791.735266889256</v>
      </c>
      <c r="G11" s="991">
        <f>huishoudens!F8</f>
        <v>46855.395524706502</v>
      </c>
      <c r="H11" s="991">
        <f>huishoudens!G8</f>
        <v>0</v>
      </c>
      <c r="I11" s="991">
        <f>huishoudens!H8</f>
        <v>0</v>
      </c>
      <c r="J11" s="991">
        <f>huishoudens!I8</f>
        <v>0</v>
      </c>
      <c r="K11" s="991">
        <f>huishoudens!J8</f>
        <v>1420.4624536260499</v>
      </c>
      <c r="L11" s="991">
        <f>huishoudens!K8</f>
        <v>0</v>
      </c>
      <c r="M11" s="991">
        <f>huishoudens!L8</f>
        <v>0</v>
      </c>
      <c r="N11" s="991">
        <f>huishoudens!M8</f>
        <v>0</v>
      </c>
      <c r="O11" s="991">
        <f>huishoudens!N8</f>
        <v>16318.580821434676</v>
      </c>
      <c r="P11" s="991">
        <f>huishoudens!O8</f>
        <v>365.82000000000005</v>
      </c>
      <c r="Q11" s="992">
        <f>huishoudens!P8</f>
        <v>1010.5333333333333</v>
      </c>
      <c r="R11" s="675">
        <f>SUM(C11:Q11)</f>
        <v>193249.88400242303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18253.552889999999</v>
      </c>
      <c r="D13" s="991">
        <f>industrie!C18</f>
        <v>0</v>
      </c>
      <c r="E13" s="991">
        <f>industrie!D18</f>
        <v>142630.77877938873</v>
      </c>
      <c r="F13" s="991">
        <f>industrie!E18</f>
        <v>1236.65263685745</v>
      </c>
      <c r="G13" s="991">
        <f>industrie!F18</f>
        <v>6350.2420471003052</v>
      </c>
      <c r="H13" s="991">
        <f>industrie!G18</f>
        <v>0</v>
      </c>
      <c r="I13" s="991">
        <f>industrie!H18</f>
        <v>0</v>
      </c>
      <c r="J13" s="991">
        <f>industrie!I18</f>
        <v>0</v>
      </c>
      <c r="K13" s="991">
        <f>industrie!J18</f>
        <v>76.221892780400879</v>
      </c>
      <c r="L13" s="991">
        <f>industrie!K18</f>
        <v>0</v>
      </c>
      <c r="M13" s="991">
        <f>industrie!L18</f>
        <v>0</v>
      </c>
      <c r="N13" s="991">
        <f>industrie!M18</f>
        <v>0</v>
      </c>
      <c r="O13" s="991">
        <f>industrie!N18</f>
        <v>1327.5535387634231</v>
      </c>
      <c r="P13" s="991">
        <f>industrie!O18</f>
        <v>0</v>
      </c>
      <c r="Q13" s="992">
        <f>industrie!P18</f>
        <v>0</v>
      </c>
      <c r="R13" s="675">
        <f>SUM(C13:Q13)</f>
        <v>169875.00178489028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88535.805365465872</v>
      </c>
      <c r="D16" s="707">
        <f t="shared" ref="D16:R16" ca="1" si="0">SUM(D9:D15)</f>
        <v>0</v>
      </c>
      <c r="E16" s="707">
        <f t="shared" ca="1" si="0"/>
        <v>227162.5366903728</v>
      </c>
      <c r="F16" s="707">
        <f t="shared" si="0"/>
        <v>17231.143571628407</v>
      </c>
      <c r="G16" s="707">
        <f t="shared" ca="1" si="0"/>
        <v>56456.137211854351</v>
      </c>
      <c r="H16" s="707">
        <f t="shared" si="0"/>
        <v>0</v>
      </c>
      <c r="I16" s="707">
        <f t="shared" si="0"/>
        <v>0</v>
      </c>
      <c r="J16" s="707">
        <f t="shared" si="0"/>
        <v>0</v>
      </c>
      <c r="K16" s="707">
        <f t="shared" si="0"/>
        <v>1496.6843464064507</v>
      </c>
      <c r="L16" s="707">
        <f t="shared" si="0"/>
        <v>0</v>
      </c>
      <c r="M16" s="707">
        <f t="shared" ca="1" si="0"/>
        <v>0</v>
      </c>
      <c r="N16" s="707">
        <f t="shared" si="0"/>
        <v>0</v>
      </c>
      <c r="O16" s="707">
        <f t="shared" ca="1" si="0"/>
        <v>19129.22067869427</v>
      </c>
      <c r="P16" s="707">
        <f t="shared" si="0"/>
        <v>373.63666666666671</v>
      </c>
      <c r="Q16" s="707">
        <f t="shared" si="0"/>
        <v>1029.5999999999999</v>
      </c>
      <c r="R16" s="707">
        <f t="shared" ca="1" si="0"/>
        <v>411414.76453108876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1105.2687508358515</v>
      </c>
      <c r="I19" s="991">
        <f>transport!H54</f>
        <v>0</v>
      </c>
      <c r="J19" s="991">
        <f>transport!I54</f>
        <v>0</v>
      </c>
      <c r="K19" s="991">
        <f>transport!J54</f>
        <v>0</v>
      </c>
      <c r="L19" s="991">
        <f>transport!K54</f>
        <v>0</v>
      </c>
      <c r="M19" s="991">
        <f>transport!L54</f>
        <v>0</v>
      </c>
      <c r="N19" s="991">
        <f>transport!M54</f>
        <v>63.173797682560505</v>
      </c>
      <c r="O19" s="991">
        <f>transport!N54</f>
        <v>0</v>
      </c>
      <c r="P19" s="991">
        <f>transport!O54</f>
        <v>0</v>
      </c>
      <c r="Q19" s="992">
        <f>transport!P54</f>
        <v>0</v>
      </c>
      <c r="R19" s="675">
        <f>SUM(C19:Q19)</f>
        <v>1168.442548518412</v>
      </c>
      <c r="S19" s="67"/>
    </row>
    <row r="20" spans="1:19" s="448" customFormat="1">
      <c r="A20" s="784" t="s">
        <v>306</v>
      </c>
      <c r="B20" s="789"/>
      <c r="C20" s="991">
        <f>transport!B14</f>
        <v>11.30250554190086</v>
      </c>
      <c r="D20" s="991">
        <f>transport!C14</f>
        <v>0</v>
      </c>
      <c r="E20" s="991">
        <f>transport!D14</f>
        <v>26.970459165831866</v>
      </c>
      <c r="F20" s="991">
        <f>transport!E14</f>
        <v>252.16994690146527</v>
      </c>
      <c r="G20" s="991">
        <f>transport!F14</f>
        <v>0</v>
      </c>
      <c r="H20" s="991">
        <f>transport!G14</f>
        <v>79561.732755435587</v>
      </c>
      <c r="I20" s="991">
        <f>transport!H14</f>
        <v>16149.405869464194</v>
      </c>
      <c r="J20" s="991">
        <f>transport!I14</f>
        <v>0</v>
      </c>
      <c r="K20" s="991">
        <f>transport!J14</f>
        <v>0</v>
      </c>
      <c r="L20" s="991">
        <f>transport!K14</f>
        <v>0</v>
      </c>
      <c r="M20" s="991">
        <f>transport!L14</f>
        <v>0</v>
      </c>
      <c r="N20" s="991">
        <f>transport!M14</f>
        <v>5105.3658073662282</v>
      </c>
      <c r="O20" s="991">
        <f>transport!N14</f>
        <v>0</v>
      </c>
      <c r="P20" s="991">
        <f>transport!O14</f>
        <v>0</v>
      </c>
      <c r="Q20" s="992">
        <f>transport!P14</f>
        <v>0</v>
      </c>
      <c r="R20" s="675">
        <f>SUM(C20:Q20)</f>
        <v>101106.9473438752</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11.30250554190086</v>
      </c>
      <c r="D22" s="787">
        <f t="shared" ref="D22:R22" si="1">SUM(D18:D21)</f>
        <v>0</v>
      </c>
      <c r="E22" s="787">
        <f t="shared" si="1"/>
        <v>26.970459165831866</v>
      </c>
      <c r="F22" s="787">
        <f t="shared" si="1"/>
        <v>252.16994690146527</v>
      </c>
      <c r="G22" s="787">
        <f t="shared" si="1"/>
        <v>0</v>
      </c>
      <c r="H22" s="787">
        <f t="shared" si="1"/>
        <v>80667.001506271437</v>
      </c>
      <c r="I22" s="787">
        <f t="shared" si="1"/>
        <v>16149.405869464194</v>
      </c>
      <c r="J22" s="787">
        <f t="shared" si="1"/>
        <v>0</v>
      </c>
      <c r="K22" s="787">
        <f t="shared" si="1"/>
        <v>0</v>
      </c>
      <c r="L22" s="787">
        <f t="shared" si="1"/>
        <v>0</v>
      </c>
      <c r="M22" s="787">
        <f t="shared" si="1"/>
        <v>0</v>
      </c>
      <c r="N22" s="787">
        <f t="shared" si="1"/>
        <v>5168.5396050487889</v>
      </c>
      <c r="O22" s="787">
        <f t="shared" si="1"/>
        <v>0</v>
      </c>
      <c r="P22" s="787">
        <f t="shared" si="1"/>
        <v>0</v>
      </c>
      <c r="Q22" s="787">
        <f t="shared" si="1"/>
        <v>0</v>
      </c>
      <c r="R22" s="787">
        <f t="shared" si="1"/>
        <v>102275.38989239362</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2315.6064999999999</v>
      </c>
      <c r="D24" s="991">
        <f>+landbouw!C8</f>
        <v>0</v>
      </c>
      <c r="E24" s="991">
        <f>+landbouw!D8</f>
        <v>430.55627184768656</v>
      </c>
      <c r="F24" s="991">
        <f>+landbouw!E8</f>
        <v>21.448117268154068</v>
      </c>
      <c r="G24" s="991">
        <f>+landbouw!F8</f>
        <v>5875.1348130855613</v>
      </c>
      <c r="H24" s="991">
        <f>+landbouw!G8</f>
        <v>0</v>
      </c>
      <c r="I24" s="991">
        <f>+landbouw!H8</f>
        <v>0</v>
      </c>
      <c r="J24" s="991">
        <f>+landbouw!I8</f>
        <v>0</v>
      </c>
      <c r="K24" s="991">
        <f>+landbouw!J8</f>
        <v>355.00831869396308</v>
      </c>
      <c r="L24" s="991">
        <f>+landbouw!K8</f>
        <v>0</v>
      </c>
      <c r="M24" s="991">
        <f>+landbouw!L8</f>
        <v>0</v>
      </c>
      <c r="N24" s="991">
        <f>+landbouw!M8</f>
        <v>0</v>
      </c>
      <c r="O24" s="991">
        <f>+landbouw!N8</f>
        <v>0</v>
      </c>
      <c r="P24" s="991">
        <f>+landbouw!O8</f>
        <v>0</v>
      </c>
      <c r="Q24" s="992">
        <f>+landbouw!P8</f>
        <v>0</v>
      </c>
      <c r="R24" s="675">
        <f>SUM(C24:Q24)</f>
        <v>8997.7540208953651</v>
      </c>
      <c r="S24" s="67"/>
    </row>
    <row r="25" spans="1:19" s="448" customFormat="1" ht="15" thickBot="1">
      <c r="A25" s="806" t="s">
        <v>849</v>
      </c>
      <c r="B25" s="994"/>
      <c r="C25" s="995">
        <f>IF(Onbekend_ele_kWh="---",0,Onbekend_ele_kWh)/1000+IF(REST_rest_ele_kWh="---",0,REST_rest_ele_kWh)/1000</f>
        <v>1321.16</v>
      </c>
      <c r="D25" s="995"/>
      <c r="E25" s="995">
        <f>IF(onbekend_gas_kWh="---",0,onbekend_gas_kWh)/1000+IF(REST_rest_gas_kWh="---",0,REST_rest_gas_kWh)/1000</f>
        <v>2829.8184632688299</v>
      </c>
      <c r="F25" s="995"/>
      <c r="G25" s="995"/>
      <c r="H25" s="995"/>
      <c r="I25" s="995"/>
      <c r="J25" s="995"/>
      <c r="K25" s="995"/>
      <c r="L25" s="995"/>
      <c r="M25" s="995"/>
      <c r="N25" s="995"/>
      <c r="O25" s="995"/>
      <c r="P25" s="995"/>
      <c r="Q25" s="996"/>
      <c r="R25" s="675">
        <f>SUM(C25:Q25)</f>
        <v>4150.9784632688297</v>
      </c>
      <c r="S25" s="67"/>
    </row>
    <row r="26" spans="1:19" s="448" customFormat="1" ht="15.75" thickBot="1">
      <c r="A26" s="680" t="s">
        <v>850</v>
      </c>
      <c r="B26" s="792"/>
      <c r="C26" s="787">
        <f>SUM(C24:C25)</f>
        <v>3636.7664999999997</v>
      </c>
      <c r="D26" s="787">
        <f t="shared" ref="D26:R26" si="2">SUM(D24:D25)</f>
        <v>0</v>
      </c>
      <c r="E26" s="787">
        <f t="shared" si="2"/>
        <v>3260.3747351165166</v>
      </c>
      <c r="F26" s="787">
        <f t="shared" si="2"/>
        <v>21.448117268154068</v>
      </c>
      <c r="G26" s="787">
        <f t="shared" si="2"/>
        <v>5875.1348130855613</v>
      </c>
      <c r="H26" s="787">
        <f t="shared" si="2"/>
        <v>0</v>
      </c>
      <c r="I26" s="787">
        <f t="shared" si="2"/>
        <v>0</v>
      </c>
      <c r="J26" s="787">
        <f t="shared" si="2"/>
        <v>0</v>
      </c>
      <c r="K26" s="787">
        <f t="shared" si="2"/>
        <v>355.00831869396308</v>
      </c>
      <c r="L26" s="787">
        <f t="shared" si="2"/>
        <v>0</v>
      </c>
      <c r="M26" s="787">
        <f t="shared" si="2"/>
        <v>0</v>
      </c>
      <c r="N26" s="787">
        <f t="shared" si="2"/>
        <v>0</v>
      </c>
      <c r="O26" s="787">
        <f t="shared" si="2"/>
        <v>0</v>
      </c>
      <c r="P26" s="787">
        <f t="shared" si="2"/>
        <v>0</v>
      </c>
      <c r="Q26" s="787">
        <f t="shared" si="2"/>
        <v>0</v>
      </c>
      <c r="R26" s="787">
        <f t="shared" si="2"/>
        <v>13148.732484164195</v>
      </c>
      <c r="S26" s="67"/>
    </row>
    <row r="27" spans="1:19" s="448" customFormat="1" ht="17.25" thickTop="1" thickBot="1">
      <c r="A27" s="681" t="s">
        <v>115</v>
      </c>
      <c r="B27" s="780"/>
      <c r="C27" s="682">
        <f ca="1">C22+C16+C26</f>
        <v>92183.874371007769</v>
      </c>
      <c r="D27" s="682">
        <f t="shared" ref="D27:R27" ca="1" si="3">D22+D16+D26</f>
        <v>0</v>
      </c>
      <c r="E27" s="682">
        <f t="shared" ca="1" si="3"/>
        <v>230449.88188465516</v>
      </c>
      <c r="F27" s="682">
        <f t="shared" si="3"/>
        <v>17504.761635798026</v>
      </c>
      <c r="G27" s="682">
        <f t="shared" ca="1" si="3"/>
        <v>62331.272024939914</v>
      </c>
      <c r="H27" s="682">
        <f t="shared" si="3"/>
        <v>80667.001506271437</v>
      </c>
      <c r="I27" s="682">
        <f t="shared" si="3"/>
        <v>16149.405869464194</v>
      </c>
      <c r="J27" s="682">
        <f t="shared" si="3"/>
        <v>0</v>
      </c>
      <c r="K27" s="682">
        <f t="shared" si="3"/>
        <v>1851.6926651004137</v>
      </c>
      <c r="L27" s="682">
        <f t="shared" si="3"/>
        <v>0</v>
      </c>
      <c r="M27" s="682">
        <f t="shared" ca="1" si="3"/>
        <v>0</v>
      </c>
      <c r="N27" s="682">
        <f t="shared" si="3"/>
        <v>5168.5396050487889</v>
      </c>
      <c r="O27" s="682">
        <f t="shared" ca="1" si="3"/>
        <v>19129.22067869427</v>
      </c>
      <c r="P27" s="682">
        <f t="shared" si="3"/>
        <v>373.63666666666671</v>
      </c>
      <c r="Q27" s="682">
        <f t="shared" si="3"/>
        <v>1029.5999999999999</v>
      </c>
      <c r="R27" s="682">
        <f t="shared" ca="1" si="3"/>
        <v>526838.88690764655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4826.9242723855932</v>
      </c>
      <c r="D40" s="991">
        <f ca="1">tertiair!C20</f>
        <v>0</v>
      </c>
      <c r="E40" s="991">
        <f ca="1">tertiair!D20</f>
        <v>3706.9810393713792</v>
      </c>
      <c r="F40" s="991">
        <f>tertiair!E20</f>
        <v>46.025536609146116</v>
      </c>
      <c r="G40" s="991">
        <f ca="1">tertiair!F20</f>
        <v>867.8834038926949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9447.8142522588132</v>
      </c>
    </row>
    <row r="41" spans="1:18">
      <c r="A41" s="797" t="s">
        <v>224</v>
      </c>
      <c r="B41" s="804"/>
      <c r="C41" s="991">
        <f ca="1">huishoudens!B12</f>
        <v>8756.4008434869102</v>
      </c>
      <c r="D41" s="991">
        <f ca="1">huishoudens!C12</f>
        <v>0</v>
      </c>
      <c r="E41" s="991">
        <f>huishoudens!D12</f>
        <v>13368.434058647405</v>
      </c>
      <c r="F41" s="991">
        <f>huishoudens!E12</f>
        <v>3584.7239055838613</v>
      </c>
      <c r="G41" s="991">
        <f>huishoudens!F12</f>
        <v>12510.390605096636</v>
      </c>
      <c r="H41" s="991">
        <f>huishoudens!G12</f>
        <v>0</v>
      </c>
      <c r="I41" s="991">
        <f>huishoudens!H12</f>
        <v>0</v>
      </c>
      <c r="J41" s="991">
        <f>huishoudens!I12</f>
        <v>0</v>
      </c>
      <c r="K41" s="991">
        <f>huishoudens!J12</f>
        <v>502.84370858362161</v>
      </c>
      <c r="L41" s="991">
        <f>huishoudens!K12</f>
        <v>0</v>
      </c>
      <c r="M41" s="991">
        <f>huishoudens!L12</f>
        <v>0</v>
      </c>
      <c r="N41" s="991">
        <f>huishoudens!M12</f>
        <v>0</v>
      </c>
      <c r="O41" s="991">
        <f>huishoudens!N12</f>
        <v>0</v>
      </c>
      <c r="P41" s="991">
        <f>huishoudens!O12</f>
        <v>0</v>
      </c>
      <c r="Q41" s="749">
        <f>huishoudens!P12</f>
        <v>0</v>
      </c>
      <c r="R41" s="825">
        <f t="shared" ca="1" si="4"/>
        <v>38722.793121398434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3527.8314893393094</v>
      </c>
      <c r="D43" s="991">
        <f ca="1">industrie!C22</f>
        <v>0</v>
      </c>
      <c r="E43" s="991">
        <f>industrie!D22</f>
        <v>28811.417313436523</v>
      </c>
      <c r="F43" s="991">
        <f>industrie!E22</f>
        <v>280.72014856664117</v>
      </c>
      <c r="G43" s="991">
        <f>industrie!F22</f>
        <v>1695.5146265757817</v>
      </c>
      <c r="H43" s="991">
        <f>industrie!G22</f>
        <v>0</v>
      </c>
      <c r="I43" s="991">
        <f>industrie!H22</f>
        <v>0</v>
      </c>
      <c r="J43" s="991">
        <f>industrie!I22</f>
        <v>0</v>
      </c>
      <c r="K43" s="991">
        <f>industrie!J22</f>
        <v>26.98255004426191</v>
      </c>
      <c r="L43" s="991">
        <f>industrie!K22</f>
        <v>0</v>
      </c>
      <c r="M43" s="991">
        <f>industrie!L22</f>
        <v>0</v>
      </c>
      <c r="N43" s="991">
        <f>industrie!M22</f>
        <v>0</v>
      </c>
      <c r="O43" s="991">
        <f>industrie!N22</f>
        <v>0</v>
      </c>
      <c r="P43" s="991">
        <f>industrie!O22</f>
        <v>0</v>
      </c>
      <c r="Q43" s="749">
        <f>industrie!P22</f>
        <v>0</v>
      </c>
      <c r="R43" s="824">
        <f t="shared" ca="1" si="4"/>
        <v>34342.466127962514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17111.156605211814</v>
      </c>
      <c r="D46" s="707">
        <f t="shared" ref="D46:Q46" ca="1" si="5">SUM(D39:D45)</f>
        <v>0</v>
      </c>
      <c r="E46" s="707">
        <f t="shared" ca="1" si="5"/>
        <v>45886.832411455311</v>
      </c>
      <c r="F46" s="707">
        <f t="shared" si="5"/>
        <v>3911.4695907596483</v>
      </c>
      <c r="G46" s="707">
        <f t="shared" ca="1" si="5"/>
        <v>15073.788635565112</v>
      </c>
      <c r="H46" s="707">
        <f t="shared" si="5"/>
        <v>0</v>
      </c>
      <c r="I46" s="707">
        <f t="shared" si="5"/>
        <v>0</v>
      </c>
      <c r="J46" s="707">
        <f t="shared" si="5"/>
        <v>0</v>
      </c>
      <c r="K46" s="707">
        <f t="shared" si="5"/>
        <v>529.82625862788348</v>
      </c>
      <c r="L46" s="707">
        <f t="shared" si="5"/>
        <v>0</v>
      </c>
      <c r="M46" s="707">
        <f t="shared" ca="1" si="5"/>
        <v>0</v>
      </c>
      <c r="N46" s="707">
        <f t="shared" si="5"/>
        <v>0</v>
      </c>
      <c r="O46" s="707">
        <f t="shared" ca="1" si="5"/>
        <v>0</v>
      </c>
      <c r="P46" s="707">
        <f t="shared" si="5"/>
        <v>0</v>
      </c>
      <c r="Q46" s="707">
        <f t="shared" si="5"/>
        <v>0</v>
      </c>
      <c r="R46" s="707">
        <f ca="1">SUM(R39:R45)</f>
        <v>82513.073501619758</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295.10675647317237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295.10675647317237</v>
      </c>
    </row>
    <row r="50" spans="1:18">
      <c r="A50" s="800" t="s">
        <v>306</v>
      </c>
      <c r="B50" s="810"/>
      <c r="C50" s="678">
        <f ca="1">transport!B18</f>
        <v>2.1844150122135435</v>
      </c>
      <c r="D50" s="678">
        <f>transport!C18</f>
        <v>0</v>
      </c>
      <c r="E50" s="678">
        <f>transport!D18</f>
        <v>5.4480327514980376</v>
      </c>
      <c r="F50" s="678">
        <f>transport!E18</f>
        <v>57.242577946632615</v>
      </c>
      <c r="G50" s="678">
        <f>transport!F18</f>
        <v>0</v>
      </c>
      <c r="H50" s="678">
        <f>transport!G18</f>
        <v>21242.982645701304</v>
      </c>
      <c r="I50" s="678">
        <f>transport!H18</f>
        <v>4021.2020614965841</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25329.059732908234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2.1844150122135435</v>
      </c>
      <c r="D52" s="707">
        <f t="shared" ref="D52:Q52" ca="1" si="6">SUM(D48:D51)</f>
        <v>0</v>
      </c>
      <c r="E52" s="707">
        <f t="shared" si="6"/>
        <v>5.4480327514980376</v>
      </c>
      <c r="F52" s="707">
        <f t="shared" si="6"/>
        <v>57.242577946632615</v>
      </c>
      <c r="G52" s="707">
        <f t="shared" si="6"/>
        <v>0</v>
      </c>
      <c r="H52" s="707">
        <f t="shared" si="6"/>
        <v>21538.089402174475</v>
      </c>
      <c r="I52" s="707">
        <f t="shared" si="6"/>
        <v>4021.2020614965841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25624.166489381405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447.53312283079515</v>
      </c>
      <c r="D54" s="678">
        <f ca="1">+landbouw!C12</f>
        <v>0</v>
      </c>
      <c r="E54" s="678">
        <f>+landbouw!D12</f>
        <v>86.97236691323269</v>
      </c>
      <c r="F54" s="678">
        <f>+landbouw!E12</f>
        <v>4.8687226198709732</v>
      </c>
      <c r="G54" s="678">
        <f>+landbouw!F12</f>
        <v>1568.660995093845</v>
      </c>
      <c r="H54" s="678">
        <f>+landbouw!G12</f>
        <v>0</v>
      </c>
      <c r="I54" s="678">
        <f>+landbouw!H12</f>
        <v>0</v>
      </c>
      <c r="J54" s="678">
        <f>+landbouw!I12</f>
        <v>0</v>
      </c>
      <c r="K54" s="678">
        <f>+landbouw!J12</f>
        <v>125.67294481766292</v>
      </c>
      <c r="L54" s="678">
        <f>+landbouw!K12</f>
        <v>0</v>
      </c>
      <c r="M54" s="678">
        <f>+landbouw!L12</f>
        <v>0</v>
      </c>
      <c r="N54" s="678">
        <f>+landbouw!M12</f>
        <v>0</v>
      </c>
      <c r="O54" s="678">
        <f>+landbouw!N12</f>
        <v>0</v>
      </c>
      <c r="P54" s="678">
        <f>+landbouw!O12</f>
        <v>0</v>
      </c>
      <c r="Q54" s="679">
        <f>+landbouw!P12</f>
        <v>0</v>
      </c>
      <c r="R54" s="706">
        <f ca="1">SUM(C54:Q54)</f>
        <v>2233.708152275407</v>
      </c>
    </row>
    <row r="55" spans="1:18" ht="15" thickBot="1">
      <c r="A55" s="800" t="s">
        <v>849</v>
      </c>
      <c r="B55" s="810"/>
      <c r="C55" s="678">
        <f ca="1">C25*'EF ele_warmte'!B12</f>
        <v>255.33822804484845</v>
      </c>
      <c r="D55" s="678"/>
      <c r="E55" s="678">
        <f>E25*EF_CO2_aardgas</f>
        <v>571.62332958030368</v>
      </c>
      <c r="F55" s="678"/>
      <c r="G55" s="678"/>
      <c r="H55" s="678"/>
      <c r="I55" s="678"/>
      <c r="J55" s="678"/>
      <c r="K55" s="678"/>
      <c r="L55" s="678"/>
      <c r="M55" s="678"/>
      <c r="N55" s="678"/>
      <c r="O55" s="678"/>
      <c r="P55" s="678"/>
      <c r="Q55" s="679"/>
      <c r="R55" s="706">
        <f ca="1">SUM(C55:Q55)</f>
        <v>826.96155762515218</v>
      </c>
    </row>
    <row r="56" spans="1:18" ht="15.75" thickBot="1">
      <c r="A56" s="798" t="s">
        <v>850</v>
      </c>
      <c r="B56" s="811"/>
      <c r="C56" s="707">
        <f ca="1">SUM(C54:C55)</f>
        <v>702.87135087564366</v>
      </c>
      <c r="D56" s="707">
        <f t="shared" ref="D56:Q56" ca="1" si="7">SUM(D54:D55)</f>
        <v>0</v>
      </c>
      <c r="E56" s="707">
        <f t="shared" si="7"/>
        <v>658.59569649353637</v>
      </c>
      <c r="F56" s="707">
        <f t="shared" si="7"/>
        <v>4.8687226198709732</v>
      </c>
      <c r="G56" s="707">
        <f t="shared" si="7"/>
        <v>1568.660995093845</v>
      </c>
      <c r="H56" s="707">
        <f t="shared" si="7"/>
        <v>0</v>
      </c>
      <c r="I56" s="707">
        <f t="shared" si="7"/>
        <v>0</v>
      </c>
      <c r="J56" s="707">
        <f t="shared" si="7"/>
        <v>0</v>
      </c>
      <c r="K56" s="707">
        <f t="shared" si="7"/>
        <v>125.67294481766292</v>
      </c>
      <c r="L56" s="707">
        <f t="shared" si="7"/>
        <v>0</v>
      </c>
      <c r="M56" s="707">
        <f t="shared" si="7"/>
        <v>0</v>
      </c>
      <c r="N56" s="707">
        <f t="shared" si="7"/>
        <v>0</v>
      </c>
      <c r="O56" s="707">
        <f t="shared" si="7"/>
        <v>0</v>
      </c>
      <c r="P56" s="707">
        <f t="shared" si="7"/>
        <v>0</v>
      </c>
      <c r="Q56" s="708">
        <f t="shared" si="7"/>
        <v>0</v>
      </c>
      <c r="R56" s="709">
        <f ca="1">SUM(R54:R55)</f>
        <v>3060.6697099005592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17816.212371099671</v>
      </c>
      <c r="D61" s="715">
        <f t="shared" ref="D61:Q61" ca="1" si="8">D46+D52+D56</f>
        <v>0</v>
      </c>
      <c r="E61" s="715">
        <f t="shared" ca="1" si="8"/>
        <v>46550.876140700348</v>
      </c>
      <c r="F61" s="715">
        <f t="shared" si="8"/>
        <v>3973.5808913261517</v>
      </c>
      <c r="G61" s="715">
        <f t="shared" ca="1" si="8"/>
        <v>16642.449630658957</v>
      </c>
      <c r="H61" s="715">
        <f t="shared" si="8"/>
        <v>21538.089402174475</v>
      </c>
      <c r="I61" s="715">
        <f t="shared" si="8"/>
        <v>4021.2020614965841</v>
      </c>
      <c r="J61" s="715">
        <f t="shared" si="8"/>
        <v>0</v>
      </c>
      <c r="K61" s="715">
        <f t="shared" si="8"/>
        <v>655.49920344554641</v>
      </c>
      <c r="L61" s="715">
        <f t="shared" si="8"/>
        <v>0</v>
      </c>
      <c r="M61" s="715">
        <f t="shared" ca="1" si="8"/>
        <v>0</v>
      </c>
      <c r="N61" s="715">
        <f t="shared" si="8"/>
        <v>0</v>
      </c>
      <c r="O61" s="715">
        <f t="shared" ca="1" si="8"/>
        <v>0</v>
      </c>
      <c r="P61" s="715">
        <f t="shared" si="8"/>
        <v>0</v>
      </c>
      <c r="Q61" s="715">
        <f t="shared" si="8"/>
        <v>0</v>
      </c>
      <c r="R61" s="715">
        <f ca="1">R46+R52+R56</f>
        <v>111197.90970090171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0.19326820978900999</v>
      </c>
      <c r="D63" s="756">
        <f t="shared" ca="1" si="9"/>
        <v>0</v>
      </c>
      <c r="E63" s="1002">
        <f t="shared" ca="1" si="9"/>
        <v>0.20200000000000001</v>
      </c>
      <c r="F63" s="756">
        <f t="shared" si="9"/>
        <v>0.22699999999999998</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3591.4782873349286</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7976.0505130860902</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11567.52880042102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45306.989975465869</v>
      </c>
      <c r="C4" s="452">
        <f>huishoudens!C8</f>
        <v>0</v>
      </c>
      <c r="D4" s="452">
        <f>huishoudens!D8</f>
        <v>66180.366626967341</v>
      </c>
      <c r="E4" s="452">
        <f>huishoudens!E8</f>
        <v>15791.735266889256</v>
      </c>
      <c r="F4" s="452">
        <f>huishoudens!F8</f>
        <v>46855.395524706502</v>
      </c>
      <c r="G4" s="452">
        <f>huishoudens!G8</f>
        <v>0</v>
      </c>
      <c r="H4" s="452">
        <f>huishoudens!H8</f>
        <v>0</v>
      </c>
      <c r="I4" s="452">
        <f>huishoudens!I8</f>
        <v>0</v>
      </c>
      <c r="J4" s="452">
        <f>huishoudens!J8</f>
        <v>1420.4624536260499</v>
      </c>
      <c r="K4" s="452">
        <f>huishoudens!K8</f>
        <v>0</v>
      </c>
      <c r="L4" s="452">
        <f>huishoudens!L8</f>
        <v>0</v>
      </c>
      <c r="M4" s="452">
        <f>huishoudens!M8</f>
        <v>0</v>
      </c>
      <c r="N4" s="452">
        <f>huishoudens!N8</f>
        <v>16318.580821434676</v>
      </c>
      <c r="O4" s="452">
        <f>huishoudens!O8</f>
        <v>365.82000000000005</v>
      </c>
      <c r="P4" s="453">
        <f>huishoudens!P8</f>
        <v>1010.5333333333333</v>
      </c>
      <c r="Q4" s="454">
        <f>SUM(B4:P4)</f>
        <v>193249.88400242303</v>
      </c>
    </row>
    <row r="5" spans="1:17">
      <c r="A5" s="451" t="s">
        <v>155</v>
      </c>
      <c r="B5" s="452">
        <f ca="1">tertiair!B16</f>
        <v>23030.374499999998</v>
      </c>
      <c r="C5" s="452">
        <f ca="1">tertiair!C16</f>
        <v>0</v>
      </c>
      <c r="D5" s="452">
        <f ca="1">tertiair!D16</f>
        <v>18351.391284016729</v>
      </c>
      <c r="E5" s="452">
        <f>tertiair!E16</f>
        <v>202.75566788170096</v>
      </c>
      <c r="F5" s="452">
        <f ca="1">tertiair!F16</f>
        <v>3250.4996400475461</v>
      </c>
      <c r="G5" s="452">
        <f>tertiair!G16</f>
        <v>0</v>
      </c>
      <c r="H5" s="452">
        <f>tertiair!H16</f>
        <v>0</v>
      </c>
      <c r="I5" s="452">
        <f>tertiair!I16</f>
        <v>0</v>
      </c>
      <c r="J5" s="452">
        <f>tertiair!J16</f>
        <v>0</v>
      </c>
      <c r="K5" s="452">
        <f>tertiair!K16</f>
        <v>0</v>
      </c>
      <c r="L5" s="452">
        <f ca="1">tertiair!L16</f>
        <v>0</v>
      </c>
      <c r="M5" s="452">
        <f>tertiair!M16</f>
        <v>0</v>
      </c>
      <c r="N5" s="452">
        <f ca="1">tertiair!N16</f>
        <v>1483.0863184961709</v>
      </c>
      <c r="O5" s="452">
        <f>tertiair!O16</f>
        <v>7.8166666666666664</v>
      </c>
      <c r="P5" s="453">
        <f>tertiair!P16</f>
        <v>19.066666666666666</v>
      </c>
      <c r="Q5" s="451">
        <f t="shared" ref="Q5:Q14" ca="1" si="0">SUM(B5:P5)</f>
        <v>46344.990743775466</v>
      </c>
    </row>
    <row r="6" spans="1:17">
      <c r="A6" s="451" t="s">
        <v>193</v>
      </c>
      <c r="B6" s="452">
        <f>'openbare verlichting'!B8</f>
        <v>1944.8879999999999</v>
      </c>
      <c r="C6" s="452"/>
      <c r="D6" s="452"/>
      <c r="E6" s="452"/>
      <c r="F6" s="452"/>
      <c r="G6" s="452"/>
      <c r="H6" s="452"/>
      <c r="I6" s="452"/>
      <c r="J6" s="452"/>
      <c r="K6" s="452"/>
      <c r="L6" s="452"/>
      <c r="M6" s="452"/>
      <c r="N6" s="452"/>
      <c r="O6" s="452"/>
      <c r="P6" s="453"/>
      <c r="Q6" s="451">
        <f t="shared" si="0"/>
        <v>1944.8879999999999</v>
      </c>
    </row>
    <row r="7" spans="1:17">
      <c r="A7" s="451" t="s">
        <v>111</v>
      </c>
      <c r="B7" s="452">
        <f>landbouw!B8</f>
        <v>2315.6064999999999</v>
      </c>
      <c r="C7" s="452">
        <f>landbouw!C8</f>
        <v>0</v>
      </c>
      <c r="D7" s="452">
        <f>landbouw!D8</f>
        <v>430.55627184768656</v>
      </c>
      <c r="E7" s="452">
        <f>landbouw!E8</f>
        <v>21.448117268154068</v>
      </c>
      <c r="F7" s="452">
        <f>landbouw!F8</f>
        <v>5875.1348130855613</v>
      </c>
      <c r="G7" s="452">
        <f>landbouw!G8</f>
        <v>0</v>
      </c>
      <c r="H7" s="452">
        <f>landbouw!H8</f>
        <v>0</v>
      </c>
      <c r="I7" s="452">
        <f>landbouw!I8</f>
        <v>0</v>
      </c>
      <c r="J7" s="452">
        <f>landbouw!J8</f>
        <v>355.00831869396308</v>
      </c>
      <c r="K7" s="452">
        <f>landbouw!K8</f>
        <v>0</v>
      </c>
      <c r="L7" s="452">
        <f>landbouw!L8</f>
        <v>0</v>
      </c>
      <c r="M7" s="452">
        <f>landbouw!M8</f>
        <v>0</v>
      </c>
      <c r="N7" s="452">
        <f>landbouw!N8</f>
        <v>0</v>
      </c>
      <c r="O7" s="452">
        <f>landbouw!O8</f>
        <v>0</v>
      </c>
      <c r="P7" s="453">
        <f>landbouw!P8</f>
        <v>0</v>
      </c>
      <c r="Q7" s="451">
        <f t="shared" si="0"/>
        <v>8997.7540208953651</v>
      </c>
    </row>
    <row r="8" spans="1:17">
      <c r="A8" s="451" t="s">
        <v>649</v>
      </c>
      <c r="B8" s="452">
        <f>industrie!B18</f>
        <v>18253.552889999999</v>
      </c>
      <c r="C8" s="452">
        <f>industrie!C18</f>
        <v>0</v>
      </c>
      <c r="D8" s="452">
        <f>industrie!D18</f>
        <v>142630.77877938873</v>
      </c>
      <c r="E8" s="452">
        <f>industrie!E18</f>
        <v>1236.65263685745</v>
      </c>
      <c r="F8" s="452">
        <f>industrie!F18</f>
        <v>6350.2420471003052</v>
      </c>
      <c r="G8" s="452">
        <f>industrie!G18</f>
        <v>0</v>
      </c>
      <c r="H8" s="452">
        <f>industrie!H18</f>
        <v>0</v>
      </c>
      <c r="I8" s="452">
        <f>industrie!I18</f>
        <v>0</v>
      </c>
      <c r="J8" s="452">
        <f>industrie!J18</f>
        <v>76.221892780400879</v>
      </c>
      <c r="K8" s="452">
        <f>industrie!K18</f>
        <v>0</v>
      </c>
      <c r="L8" s="452">
        <f>industrie!L18</f>
        <v>0</v>
      </c>
      <c r="M8" s="452">
        <f>industrie!M18</f>
        <v>0</v>
      </c>
      <c r="N8" s="452">
        <f>industrie!N18</f>
        <v>1327.5535387634231</v>
      </c>
      <c r="O8" s="452">
        <f>industrie!O18</f>
        <v>0</v>
      </c>
      <c r="P8" s="453">
        <f>industrie!P18</f>
        <v>0</v>
      </c>
      <c r="Q8" s="451">
        <f t="shared" si="0"/>
        <v>169875.00178489028</v>
      </c>
    </row>
    <row r="9" spans="1:17" s="457" customFormat="1">
      <c r="A9" s="455" t="s">
        <v>570</v>
      </c>
      <c r="B9" s="456">
        <f>transport!B14</f>
        <v>11.30250554190086</v>
      </c>
      <c r="C9" s="456">
        <f>transport!C14</f>
        <v>0</v>
      </c>
      <c r="D9" s="456">
        <f>transport!D14</f>
        <v>26.970459165831866</v>
      </c>
      <c r="E9" s="456">
        <f>transport!E14</f>
        <v>252.16994690146527</v>
      </c>
      <c r="F9" s="456">
        <f>transport!F14</f>
        <v>0</v>
      </c>
      <c r="G9" s="456">
        <f>transport!G14</f>
        <v>79561.732755435587</v>
      </c>
      <c r="H9" s="456">
        <f>transport!H14</f>
        <v>16149.405869464194</v>
      </c>
      <c r="I9" s="456">
        <f>transport!I14</f>
        <v>0</v>
      </c>
      <c r="J9" s="456">
        <f>transport!J14</f>
        <v>0</v>
      </c>
      <c r="K9" s="456">
        <f>transport!K14</f>
        <v>0</v>
      </c>
      <c r="L9" s="456">
        <f>transport!L14</f>
        <v>0</v>
      </c>
      <c r="M9" s="456">
        <f>transport!M14</f>
        <v>5105.3658073662282</v>
      </c>
      <c r="N9" s="456">
        <f>transport!N14</f>
        <v>0</v>
      </c>
      <c r="O9" s="456">
        <f>transport!O14</f>
        <v>0</v>
      </c>
      <c r="P9" s="456">
        <f>transport!P14</f>
        <v>0</v>
      </c>
      <c r="Q9" s="455">
        <f>SUM(B9:P9)</f>
        <v>101106.9473438752</v>
      </c>
    </row>
    <row r="10" spans="1:17">
      <c r="A10" s="451" t="s">
        <v>560</v>
      </c>
      <c r="B10" s="452">
        <f>transport!B54</f>
        <v>0</v>
      </c>
      <c r="C10" s="452">
        <f>transport!C54</f>
        <v>0</v>
      </c>
      <c r="D10" s="452">
        <f>transport!D54</f>
        <v>0</v>
      </c>
      <c r="E10" s="452">
        <f>transport!E54</f>
        <v>0</v>
      </c>
      <c r="F10" s="452">
        <f>transport!F54</f>
        <v>0</v>
      </c>
      <c r="G10" s="452">
        <f>transport!G54</f>
        <v>1105.2687508358515</v>
      </c>
      <c r="H10" s="452">
        <f>transport!H54</f>
        <v>0</v>
      </c>
      <c r="I10" s="452">
        <f>transport!I54</f>
        <v>0</v>
      </c>
      <c r="J10" s="452">
        <f>transport!J54</f>
        <v>0</v>
      </c>
      <c r="K10" s="452">
        <f>transport!K54</f>
        <v>0</v>
      </c>
      <c r="L10" s="452">
        <f>transport!L54</f>
        <v>0</v>
      </c>
      <c r="M10" s="452">
        <f>transport!M54</f>
        <v>63.173797682560505</v>
      </c>
      <c r="N10" s="452">
        <f>transport!N54</f>
        <v>0</v>
      </c>
      <c r="O10" s="452">
        <f>transport!O54</f>
        <v>0</v>
      </c>
      <c r="P10" s="453">
        <f>transport!P54</f>
        <v>0</v>
      </c>
      <c r="Q10" s="451">
        <f t="shared" si="0"/>
        <v>1168.442548518412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1321.16</v>
      </c>
      <c r="C14" s="459"/>
      <c r="D14" s="459">
        <f>'SEAP template'!E25</f>
        <v>2829.8184632688299</v>
      </c>
      <c r="E14" s="459"/>
      <c r="F14" s="459"/>
      <c r="G14" s="459"/>
      <c r="H14" s="459"/>
      <c r="I14" s="459"/>
      <c r="J14" s="459"/>
      <c r="K14" s="459"/>
      <c r="L14" s="459"/>
      <c r="M14" s="459"/>
      <c r="N14" s="459"/>
      <c r="O14" s="459"/>
      <c r="P14" s="460"/>
      <c r="Q14" s="451">
        <f t="shared" si="0"/>
        <v>4150.9784632688297</v>
      </c>
    </row>
    <row r="15" spans="1:17" s="461" customFormat="1">
      <c r="A15" s="1017" t="s">
        <v>564</v>
      </c>
      <c r="B15" s="957">
        <f ca="1">SUM(B4:B14)</f>
        <v>92183.874371007769</v>
      </c>
      <c r="C15" s="957">
        <f t="shared" ref="C15:Q15" ca="1" si="1">SUM(C4:C14)</f>
        <v>0</v>
      </c>
      <c r="D15" s="957">
        <f t="shared" ca="1" si="1"/>
        <v>230449.88188465516</v>
      </c>
      <c r="E15" s="957">
        <f t="shared" si="1"/>
        <v>17504.761635798026</v>
      </c>
      <c r="F15" s="957">
        <f t="shared" ca="1" si="1"/>
        <v>62331.272024939914</v>
      </c>
      <c r="G15" s="957">
        <f t="shared" si="1"/>
        <v>80667.001506271437</v>
      </c>
      <c r="H15" s="957">
        <f t="shared" si="1"/>
        <v>16149.405869464194</v>
      </c>
      <c r="I15" s="957">
        <f t="shared" si="1"/>
        <v>0</v>
      </c>
      <c r="J15" s="957">
        <f t="shared" si="1"/>
        <v>1851.6926651004137</v>
      </c>
      <c r="K15" s="957">
        <f t="shared" si="1"/>
        <v>0</v>
      </c>
      <c r="L15" s="957">
        <f t="shared" ca="1" si="1"/>
        <v>0</v>
      </c>
      <c r="M15" s="957">
        <f t="shared" si="1"/>
        <v>5168.5396050487889</v>
      </c>
      <c r="N15" s="957">
        <f t="shared" ca="1" si="1"/>
        <v>19129.22067869427</v>
      </c>
      <c r="O15" s="957">
        <f t="shared" si="1"/>
        <v>373.63666666666671</v>
      </c>
      <c r="P15" s="957">
        <f t="shared" si="1"/>
        <v>1029.5999999999999</v>
      </c>
      <c r="Q15" s="957">
        <f t="shared" ca="1" si="1"/>
        <v>526838.88690764655</v>
      </c>
    </row>
    <row r="17" spans="1:17">
      <c r="A17" s="462" t="s">
        <v>565</v>
      </c>
      <c r="B17" s="761">
        <f ca="1">huishoudens!B10</f>
        <v>0.19326820978900999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8756.4008434869102</v>
      </c>
      <c r="C22" s="452">
        <f t="shared" ref="C22:C32" ca="1" si="3">C4*$C$17</f>
        <v>0</v>
      </c>
      <c r="D22" s="452">
        <f t="shared" ref="D22:D32" si="4">D4*$D$17</f>
        <v>13368.434058647405</v>
      </c>
      <c r="E22" s="452">
        <f t="shared" ref="E22:E32" si="5">E4*$E$17</f>
        <v>3584.7239055838613</v>
      </c>
      <c r="F22" s="452">
        <f t="shared" ref="F22:F32" si="6">F4*$F$17</f>
        <v>12510.390605096636</v>
      </c>
      <c r="G22" s="452">
        <f t="shared" ref="G22:G32" si="7">G4*$G$17</f>
        <v>0</v>
      </c>
      <c r="H22" s="452">
        <f t="shared" ref="H22:H32" si="8">H4*$H$17</f>
        <v>0</v>
      </c>
      <c r="I22" s="452">
        <f t="shared" ref="I22:I32" si="9">I4*$I$17</f>
        <v>0</v>
      </c>
      <c r="J22" s="452">
        <f t="shared" ref="J22:J32" si="10">J4*$J$17</f>
        <v>502.84370858362161</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38722.793121398434</v>
      </c>
    </row>
    <row r="23" spans="1:17">
      <c r="A23" s="451" t="s">
        <v>155</v>
      </c>
      <c r="B23" s="452">
        <f t="shared" ca="1" si="2"/>
        <v>4451.0392503854655</v>
      </c>
      <c r="C23" s="452">
        <f t="shared" ca="1" si="3"/>
        <v>0</v>
      </c>
      <c r="D23" s="452">
        <f t="shared" ca="1" si="4"/>
        <v>3706.9810393713792</v>
      </c>
      <c r="E23" s="452">
        <f t="shared" si="5"/>
        <v>46.025536609146116</v>
      </c>
      <c r="F23" s="452">
        <f t="shared" ca="1" si="6"/>
        <v>867.8834038926949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9071.9292302586855</v>
      </c>
    </row>
    <row r="24" spans="1:17">
      <c r="A24" s="451" t="s">
        <v>193</v>
      </c>
      <c r="B24" s="452">
        <f t="shared" ca="1" si="2"/>
        <v>375.88502200012806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375.88502200012806</v>
      </c>
    </row>
    <row r="25" spans="1:17">
      <c r="A25" s="451" t="s">
        <v>111</v>
      </c>
      <c r="B25" s="452">
        <f t="shared" ca="1" si="2"/>
        <v>447.53312283079515</v>
      </c>
      <c r="C25" s="452">
        <f t="shared" ca="1" si="3"/>
        <v>0</v>
      </c>
      <c r="D25" s="452">
        <f t="shared" si="4"/>
        <v>86.97236691323269</v>
      </c>
      <c r="E25" s="452">
        <f t="shared" si="5"/>
        <v>4.8687226198709732</v>
      </c>
      <c r="F25" s="452">
        <f t="shared" si="6"/>
        <v>1568.660995093845</v>
      </c>
      <c r="G25" s="452">
        <f t="shared" si="7"/>
        <v>0</v>
      </c>
      <c r="H25" s="452">
        <f t="shared" si="8"/>
        <v>0</v>
      </c>
      <c r="I25" s="452">
        <f t="shared" si="9"/>
        <v>0</v>
      </c>
      <c r="J25" s="452">
        <f t="shared" si="10"/>
        <v>125.67294481766292</v>
      </c>
      <c r="K25" s="452">
        <f t="shared" si="11"/>
        <v>0</v>
      </c>
      <c r="L25" s="452">
        <f t="shared" si="12"/>
        <v>0</v>
      </c>
      <c r="M25" s="452">
        <f t="shared" si="13"/>
        <v>0</v>
      </c>
      <c r="N25" s="452">
        <f t="shared" si="14"/>
        <v>0</v>
      </c>
      <c r="O25" s="452">
        <f t="shared" si="15"/>
        <v>0</v>
      </c>
      <c r="P25" s="453">
        <f t="shared" si="16"/>
        <v>0</v>
      </c>
      <c r="Q25" s="451">
        <f t="shared" ca="1" si="17"/>
        <v>2233.708152275407</v>
      </c>
    </row>
    <row r="26" spans="1:17">
      <c r="A26" s="451" t="s">
        <v>649</v>
      </c>
      <c r="B26" s="452">
        <f t="shared" ca="1" si="2"/>
        <v>3527.8314893393094</v>
      </c>
      <c r="C26" s="452">
        <f t="shared" ca="1" si="3"/>
        <v>0</v>
      </c>
      <c r="D26" s="452">
        <f t="shared" si="4"/>
        <v>28811.417313436523</v>
      </c>
      <c r="E26" s="452">
        <f t="shared" si="5"/>
        <v>280.72014856664117</v>
      </c>
      <c r="F26" s="452">
        <f t="shared" si="6"/>
        <v>1695.5146265757817</v>
      </c>
      <c r="G26" s="452">
        <f t="shared" si="7"/>
        <v>0</v>
      </c>
      <c r="H26" s="452">
        <f t="shared" si="8"/>
        <v>0</v>
      </c>
      <c r="I26" s="452">
        <f t="shared" si="9"/>
        <v>0</v>
      </c>
      <c r="J26" s="452">
        <f t="shared" si="10"/>
        <v>26.98255004426191</v>
      </c>
      <c r="K26" s="452">
        <f t="shared" si="11"/>
        <v>0</v>
      </c>
      <c r="L26" s="452">
        <f t="shared" si="12"/>
        <v>0</v>
      </c>
      <c r="M26" s="452">
        <f t="shared" si="13"/>
        <v>0</v>
      </c>
      <c r="N26" s="452">
        <f t="shared" si="14"/>
        <v>0</v>
      </c>
      <c r="O26" s="452">
        <f t="shared" si="15"/>
        <v>0</v>
      </c>
      <c r="P26" s="453">
        <f t="shared" si="16"/>
        <v>0</v>
      </c>
      <c r="Q26" s="451">
        <f t="shared" ca="1" si="17"/>
        <v>34342.466127962514</v>
      </c>
    </row>
    <row r="27" spans="1:17" s="457" customFormat="1">
      <c r="A27" s="455" t="s">
        <v>570</v>
      </c>
      <c r="B27" s="755">
        <f t="shared" ca="1" si="2"/>
        <v>2.1844150122135435</v>
      </c>
      <c r="C27" s="456">
        <f t="shared" ca="1" si="3"/>
        <v>0</v>
      </c>
      <c r="D27" s="456">
        <f t="shared" si="4"/>
        <v>5.4480327514980376</v>
      </c>
      <c r="E27" s="456">
        <f t="shared" si="5"/>
        <v>57.242577946632615</v>
      </c>
      <c r="F27" s="456">
        <f t="shared" si="6"/>
        <v>0</v>
      </c>
      <c r="G27" s="456">
        <f t="shared" si="7"/>
        <v>21242.982645701304</v>
      </c>
      <c r="H27" s="456">
        <f t="shared" si="8"/>
        <v>4021.2020614965841</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25329.059732908234</v>
      </c>
    </row>
    <row r="28" spans="1:17">
      <c r="A28" s="451" t="s">
        <v>560</v>
      </c>
      <c r="B28" s="452">
        <f t="shared" ca="1" si="2"/>
        <v>0</v>
      </c>
      <c r="C28" s="452">
        <f t="shared" ca="1" si="3"/>
        <v>0</v>
      </c>
      <c r="D28" s="452">
        <f t="shared" si="4"/>
        <v>0</v>
      </c>
      <c r="E28" s="452">
        <f t="shared" si="5"/>
        <v>0</v>
      </c>
      <c r="F28" s="452">
        <f t="shared" si="6"/>
        <v>0</v>
      </c>
      <c r="G28" s="452">
        <f t="shared" si="7"/>
        <v>295.10675647317237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295.10675647317237</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255.33822804484845</v>
      </c>
      <c r="C32" s="452">
        <f t="shared" ca="1" si="3"/>
        <v>0</v>
      </c>
      <c r="D32" s="452">
        <f t="shared" si="4"/>
        <v>571.62332958030368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826.96155762515218</v>
      </c>
    </row>
    <row r="33" spans="1:17" s="461" customFormat="1">
      <c r="A33" s="1017" t="s">
        <v>564</v>
      </c>
      <c r="B33" s="957">
        <f ca="1">SUM(B22:B32)</f>
        <v>17816.212371099671</v>
      </c>
      <c r="C33" s="957">
        <f t="shared" ref="C33:Q33" ca="1" si="18">SUM(C22:C32)</f>
        <v>0</v>
      </c>
      <c r="D33" s="957">
        <f t="shared" ca="1" si="18"/>
        <v>46550.87614070034</v>
      </c>
      <c r="E33" s="957">
        <f t="shared" si="18"/>
        <v>3973.5808913261517</v>
      </c>
      <c r="F33" s="957">
        <f t="shared" ca="1" si="18"/>
        <v>16642.449630658957</v>
      </c>
      <c r="G33" s="957">
        <f t="shared" si="18"/>
        <v>21538.089402174475</v>
      </c>
      <c r="H33" s="957">
        <f t="shared" si="18"/>
        <v>4021.2020614965841</v>
      </c>
      <c r="I33" s="957">
        <f t="shared" si="18"/>
        <v>0</v>
      </c>
      <c r="J33" s="957">
        <f t="shared" si="18"/>
        <v>655.49920344554641</v>
      </c>
      <c r="K33" s="957">
        <f t="shared" si="18"/>
        <v>0</v>
      </c>
      <c r="L33" s="957">
        <f t="shared" ca="1" si="18"/>
        <v>0</v>
      </c>
      <c r="M33" s="957">
        <f t="shared" si="18"/>
        <v>0</v>
      </c>
      <c r="N33" s="957">
        <f t="shared" ca="1" si="18"/>
        <v>0</v>
      </c>
      <c r="O33" s="957">
        <f t="shared" si="18"/>
        <v>0</v>
      </c>
      <c r="P33" s="957">
        <f t="shared" si="18"/>
        <v>0</v>
      </c>
      <c r="Q33" s="957">
        <f t="shared" ca="1" si="18"/>
        <v>111197.90970090173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3591.4782873349286</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7976.0505130860902</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11567.52880042102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0.19326820978900999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0.19326820978900999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0.19326820978900999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0.19326820978900999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9961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4274</v>
      </c>
      <c r="C14" s="330"/>
      <c r="D14" s="330"/>
      <c r="E14" s="330"/>
      <c r="F14" s="330"/>
    </row>
    <row r="15" spans="1:6">
      <c r="A15" s="1305" t="s">
        <v>183</v>
      </c>
      <c r="B15" s="1306">
        <v>25</v>
      </c>
      <c r="C15" s="330"/>
      <c r="D15" s="330"/>
      <c r="E15" s="330"/>
      <c r="F15" s="330"/>
    </row>
    <row r="16" spans="1:6">
      <c r="A16" s="1305" t="s">
        <v>6</v>
      </c>
      <c r="B16" s="1306">
        <v>682</v>
      </c>
      <c r="C16" s="330"/>
      <c r="D16" s="330"/>
      <c r="E16" s="330"/>
      <c r="F16" s="330"/>
    </row>
    <row r="17" spans="1:6">
      <c r="A17" s="1305" t="s">
        <v>7</v>
      </c>
      <c r="B17" s="1306">
        <v>860</v>
      </c>
      <c r="C17" s="330"/>
      <c r="D17" s="330"/>
      <c r="E17" s="330"/>
      <c r="F17" s="330"/>
    </row>
    <row r="18" spans="1:6">
      <c r="A18" s="1305" t="s">
        <v>8</v>
      </c>
      <c r="B18" s="1306">
        <v>998</v>
      </c>
      <c r="C18" s="330"/>
      <c r="D18" s="330"/>
      <c r="E18" s="330"/>
      <c r="F18" s="330"/>
    </row>
    <row r="19" spans="1:6">
      <c r="A19" s="1305" t="s">
        <v>9</v>
      </c>
      <c r="B19" s="1306">
        <v>925</v>
      </c>
      <c r="C19" s="330"/>
      <c r="D19" s="330"/>
      <c r="E19" s="330"/>
      <c r="F19" s="330"/>
    </row>
    <row r="20" spans="1:6">
      <c r="A20" s="1305" t="s">
        <v>10</v>
      </c>
      <c r="B20" s="1306">
        <v>937</v>
      </c>
      <c r="C20" s="330"/>
      <c r="D20" s="330"/>
      <c r="E20" s="330"/>
      <c r="F20" s="330"/>
    </row>
    <row r="21" spans="1:6">
      <c r="A21" s="1305" t="s">
        <v>11</v>
      </c>
      <c r="B21" s="1306">
        <v>3219</v>
      </c>
      <c r="C21" s="330"/>
      <c r="D21" s="330"/>
      <c r="E21" s="330"/>
      <c r="F21" s="330"/>
    </row>
    <row r="22" spans="1:6">
      <c r="A22" s="1305" t="s">
        <v>12</v>
      </c>
      <c r="B22" s="1306">
        <v>19870</v>
      </c>
      <c r="C22" s="330"/>
      <c r="D22" s="330"/>
      <c r="E22" s="330"/>
      <c r="F22" s="330"/>
    </row>
    <row r="23" spans="1:6">
      <c r="A23" s="1305" t="s">
        <v>13</v>
      </c>
      <c r="B23" s="1306">
        <v>143</v>
      </c>
      <c r="C23" s="330"/>
      <c r="D23" s="330"/>
      <c r="E23" s="330"/>
      <c r="F23" s="330"/>
    </row>
    <row r="24" spans="1:6">
      <c r="A24" s="1305" t="s">
        <v>14</v>
      </c>
      <c r="B24" s="1306">
        <v>17</v>
      </c>
      <c r="C24" s="330"/>
      <c r="D24" s="330"/>
      <c r="E24" s="330"/>
      <c r="F24" s="330"/>
    </row>
    <row r="25" spans="1:6">
      <c r="A25" s="1305" t="s">
        <v>15</v>
      </c>
      <c r="B25" s="1306">
        <v>1169</v>
      </c>
      <c r="C25" s="330"/>
      <c r="D25" s="330"/>
      <c r="E25" s="330"/>
      <c r="F25" s="330"/>
    </row>
    <row r="26" spans="1:6">
      <c r="A26" s="1305" t="s">
        <v>16</v>
      </c>
      <c r="B26" s="1306">
        <v>212</v>
      </c>
      <c r="C26" s="330"/>
      <c r="D26" s="330"/>
      <c r="E26" s="330"/>
      <c r="F26" s="330"/>
    </row>
    <row r="27" spans="1:6">
      <c r="A27" s="1305" t="s">
        <v>17</v>
      </c>
      <c r="B27" s="1306">
        <v>16</v>
      </c>
      <c r="C27" s="330"/>
      <c r="D27" s="330"/>
      <c r="E27" s="330"/>
      <c r="F27" s="330"/>
    </row>
    <row r="28" spans="1:6" s="43" customFormat="1">
      <c r="A28" s="1307" t="s">
        <v>18</v>
      </c>
      <c r="B28" s="1308">
        <v>410272</v>
      </c>
      <c r="C28" s="336"/>
      <c r="D28" s="336"/>
      <c r="E28" s="336"/>
      <c r="F28" s="336"/>
    </row>
    <row r="29" spans="1:6">
      <c r="A29" s="1307" t="s">
        <v>909</v>
      </c>
      <c r="B29" s="1308">
        <v>87</v>
      </c>
      <c r="C29" s="336"/>
      <c r="D29" s="336"/>
      <c r="E29" s="336"/>
      <c r="F29" s="336"/>
    </row>
    <row r="30" spans="1:6">
      <c r="A30" s="1300" t="s">
        <v>910</v>
      </c>
      <c r="B30" s="1309">
        <v>50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3392.6860000000001</v>
      </c>
    </row>
    <row r="39" spans="1:6">
      <c r="A39" s="1305" t="s">
        <v>29</v>
      </c>
      <c r="B39" s="1305" t="s">
        <v>30</v>
      </c>
      <c r="C39" s="1306">
        <v>5383</v>
      </c>
      <c r="D39" s="1306">
        <v>73370694.708389506</v>
      </c>
      <c r="E39" s="1306">
        <v>9533</v>
      </c>
      <c r="F39" s="1306">
        <v>40633001</v>
      </c>
    </row>
    <row r="40" spans="1:6">
      <c r="A40" s="1305" t="s">
        <v>29</v>
      </c>
      <c r="B40" s="1305" t="s">
        <v>28</v>
      </c>
      <c r="C40" s="1306">
        <v>0</v>
      </c>
      <c r="D40" s="1306">
        <v>0</v>
      </c>
      <c r="E40" s="1306">
        <v>0</v>
      </c>
      <c r="F40" s="1306">
        <v>0</v>
      </c>
    </row>
    <row r="41" spans="1:6">
      <c r="A41" s="1305" t="s">
        <v>31</v>
      </c>
      <c r="B41" s="1305" t="s">
        <v>32</v>
      </c>
      <c r="C41" s="1306">
        <v>79</v>
      </c>
      <c r="D41" s="1306">
        <v>1071615.75029664</v>
      </c>
      <c r="E41" s="1306">
        <v>229</v>
      </c>
      <c r="F41" s="1306">
        <v>1743029</v>
      </c>
    </row>
    <row r="42" spans="1:6">
      <c r="A42" s="1305" t="s">
        <v>31</v>
      </c>
      <c r="B42" s="1305" t="s">
        <v>33</v>
      </c>
      <c r="C42" s="1306">
        <v>0</v>
      </c>
      <c r="D42" s="1306">
        <v>0</v>
      </c>
      <c r="E42" s="1306">
        <v>0</v>
      </c>
      <c r="F42" s="1306">
        <v>0</v>
      </c>
    </row>
    <row r="43" spans="1:6">
      <c r="A43" s="1305" t="s">
        <v>31</v>
      </c>
      <c r="B43" s="1305" t="s">
        <v>34</v>
      </c>
      <c r="C43" s="1306">
        <v>5</v>
      </c>
      <c r="D43" s="1306">
        <v>145814879.773761</v>
      </c>
      <c r="E43" s="1306">
        <v>14</v>
      </c>
      <c r="F43" s="1306">
        <v>232741.9</v>
      </c>
    </row>
    <row r="44" spans="1:6">
      <c r="A44" s="1305" t="s">
        <v>31</v>
      </c>
      <c r="B44" s="1305" t="s">
        <v>35</v>
      </c>
      <c r="C44" s="1306">
        <v>0</v>
      </c>
      <c r="D44" s="1306">
        <v>0</v>
      </c>
      <c r="E44" s="1306">
        <v>14</v>
      </c>
      <c r="F44" s="1306">
        <v>1311484</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4</v>
      </c>
      <c r="D47" s="1306">
        <v>214492.63773321101</v>
      </c>
      <c r="E47" s="1306">
        <v>5</v>
      </c>
      <c r="F47" s="1306">
        <v>139880.4</v>
      </c>
    </row>
    <row r="48" spans="1:6">
      <c r="A48" s="1305" t="s">
        <v>31</v>
      </c>
      <c r="B48" s="1305" t="s">
        <v>28</v>
      </c>
      <c r="C48" s="1306">
        <v>57</v>
      </c>
      <c r="D48" s="1306">
        <v>10547224.4827205</v>
      </c>
      <c r="E48" s="1306">
        <v>101</v>
      </c>
      <c r="F48" s="1306">
        <v>14092825</v>
      </c>
    </row>
    <row r="49" spans="1:6">
      <c r="A49" s="1305" t="s">
        <v>31</v>
      </c>
      <c r="B49" s="1305" t="s">
        <v>39</v>
      </c>
      <c r="C49" s="1306">
        <v>0</v>
      </c>
      <c r="D49" s="1306">
        <v>0</v>
      </c>
      <c r="E49" s="1306">
        <v>3</v>
      </c>
      <c r="F49" s="1306">
        <v>19196.490000000002</v>
      </c>
    </row>
    <row r="50" spans="1:6">
      <c r="A50" s="1305" t="s">
        <v>31</v>
      </c>
      <c r="B50" s="1305" t="s">
        <v>40</v>
      </c>
      <c r="C50" s="1306">
        <v>5</v>
      </c>
      <c r="D50" s="1306">
        <v>479036.55658480403</v>
      </c>
      <c r="E50" s="1306">
        <v>17</v>
      </c>
      <c r="F50" s="1306">
        <v>714396.1</v>
      </c>
    </row>
    <row r="51" spans="1:6">
      <c r="A51" s="1305" t="s">
        <v>41</v>
      </c>
      <c r="B51" s="1305" t="s">
        <v>42</v>
      </c>
      <c r="C51" s="1306">
        <v>0</v>
      </c>
      <c r="D51" s="1306">
        <v>0</v>
      </c>
      <c r="E51" s="1306">
        <v>111</v>
      </c>
      <c r="F51" s="1306">
        <v>1614928</v>
      </c>
    </row>
    <row r="52" spans="1:6">
      <c r="A52" s="1305" t="s">
        <v>41</v>
      </c>
      <c r="B52" s="1305" t="s">
        <v>28</v>
      </c>
      <c r="C52" s="1306">
        <v>5</v>
      </c>
      <c r="D52" s="1306">
        <v>477335.11291317799</v>
      </c>
      <c r="E52" s="1306">
        <v>28</v>
      </c>
      <c r="F52" s="1306">
        <v>700678.5</v>
      </c>
    </row>
    <row r="53" spans="1:6">
      <c r="A53" s="1305" t="s">
        <v>43</v>
      </c>
      <c r="B53" s="1305" t="s">
        <v>44</v>
      </c>
      <c r="C53" s="1306">
        <v>121</v>
      </c>
      <c r="D53" s="1306">
        <v>2829818.46326883</v>
      </c>
      <c r="E53" s="1306">
        <v>285</v>
      </c>
      <c r="F53" s="1306">
        <v>1321160</v>
      </c>
    </row>
    <row r="54" spans="1:6">
      <c r="A54" s="1305" t="s">
        <v>45</v>
      </c>
      <c r="B54" s="1305" t="s">
        <v>46</v>
      </c>
      <c r="C54" s="1306">
        <v>0</v>
      </c>
      <c r="D54" s="1306">
        <v>0</v>
      </c>
      <c r="E54" s="1306">
        <v>1</v>
      </c>
      <c r="F54" s="1306">
        <v>1944888</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85</v>
      </c>
      <c r="D57" s="1306">
        <v>6794135.9863407603</v>
      </c>
      <c r="E57" s="1306">
        <v>70</v>
      </c>
      <c r="F57" s="1306">
        <v>898922.3</v>
      </c>
    </row>
    <row r="58" spans="1:6">
      <c r="A58" s="1305" t="s">
        <v>48</v>
      </c>
      <c r="B58" s="1305" t="s">
        <v>50</v>
      </c>
      <c r="C58" s="1306">
        <v>4</v>
      </c>
      <c r="D58" s="1306">
        <v>62635.426562636902</v>
      </c>
      <c r="E58" s="1306">
        <v>24</v>
      </c>
      <c r="F58" s="1306">
        <v>251057.2</v>
      </c>
    </row>
    <row r="59" spans="1:6">
      <c r="A59" s="1305" t="s">
        <v>48</v>
      </c>
      <c r="B59" s="1305" t="s">
        <v>51</v>
      </c>
      <c r="C59" s="1306">
        <v>71</v>
      </c>
      <c r="D59" s="1306">
        <v>1972211.63774049</v>
      </c>
      <c r="E59" s="1306">
        <v>186</v>
      </c>
      <c r="F59" s="1306">
        <v>5017889</v>
      </c>
    </row>
    <row r="60" spans="1:6">
      <c r="A60" s="1305" t="s">
        <v>48</v>
      </c>
      <c r="B60" s="1305" t="s">
        <v>52</v>
      </c>
      <c r="C60" s="1306">
        <v>31</v>
      </c>
      <c r="D60" s="1306">
        <v>938268.90720187803</v>
      </c>
      <c r="E60" s="1306">
        <v>63</v>
      </c>
      <c r="F60" s="1306">
        <v>1131318</v>
      </c>
    </row>
    <row r="61" spans="1:6">
      <c r="A61" s="1305" t="s">
        <v>48</v>
      </c>
      <c r="B61" s="1305" t="s">
        <v>53</v>
      </c>
      <c r="C61" s="1306">
        <v>115</v>
      </c>
      <c r="D61" s="1306">
        <v>4431985.6331065698</v>
      </c>
      <c r="E61" s="1306">
        <v>413</v>
      </c>
      <c r="F61" s="1306">
        <v>6732023</v>
      </c>
    </row>
    <row r="62" spans="1:6">
      <c r="A62" s="1305" t="s">
        <v>48</v>
      </c>
      <c r="B62" s="1305" t="s">
        <v>54</v>
      </c>
      <c r="C62" s="1306">
        <v>3</v>
      </c>
      <c r="D62" s="1306">
        <v>728937.42273142899</v>
      </c>
      <c r="E62" s="1306">
        <v>8</v>
      </c>
      <c r="F62" s="1306">
        <v>332601</v>
      </c>
    </row>
    <row r="63" spans="1:6">
      <c r="A63" s="1305" t="s">
        <v>48</v>
      </c>
      <c r="B63" s="1305" t="s">
        <v>28</v>
      </c>
      <c r="C63" s="1306">
        <v>164</v>
      </c>
      <c r="D63" s="1306">
        <v>5417048.1393281296</v>
      </c>
      <c r="E63" s="1306">
        <v>323</v>
      </c>
      <c r="F63" s="1306">
        <v>8666564</v>
      </c>
    </row>
    <row r="64" spans="1:6">
      <c r="A64" s="1305" t="s">
        <v>55</v>
      </c>
      <c r="B64" s="1305" t="s">
        <v>56</v>
      </c>
      <c r="C64" s="1306">
        <v>0</v>
      </c>
      <c r="D64" s="1306">
        <v>0</v>
      </c>
      <c r="E64" s="1306">
        <v>0</v>
      </c>
      <c r="F64" s="1306">
        <v>0</v>
      </c>
    </row>
    <row r="65" spans="1:6">
      <c r="A65" s="1305" t="s">
        <v>55</v>
      </c>
      <c r="B65" s="1305" t="s">
        <v>28</v>
      </c>
      <c r="C65" s="1306">
        <v>1</v>
      </c>
      <c r="D65" s="1306">
        <v>8659.5393917585006</v>
      </c>
      <c r="E65" s="1306">
        <v>4</v>
      </c>
      <c r="F65" s="1306">
        <v>27756.18</v>
      </c>
    </row>
    <row r="66" spans="1:6">
      <c r="A66" s="1305" t="s">
        <v>55</v>
      </c>
      <c r="B66" s="1305" t="s">
        <v>57</v>
      </c>
      <c r="C66" s="1306">
        <v>0</v>
      </c>
      <c r="D66" s="1306">
        <v>0</v>
      </c>
      <c r="E66" s="1306">
        <v>5</v>
      </c>
      <c r="F66" s="1306">
        <v>85216.77</v>
      </c>
    </row>
    <row r="67" spans="1:6">
      <c r="A67" s="1307" t="s">
        <v>55</v>
      </c>
      <c r="B67" s="1307" t="s">
        <v>58</v>
      </c>
      <c r="C67" s="1306">
        <v>0</v>
      </c>
      <c r="D67" s="1306">
        <v>0</v>
      </c>
      <c r="E67" s="1306">
        <v>0</v>
      </c>
      <c r="F67" s="1306">
        <v>0</v>
      </c>
    </row>
    <row r="68" spans="1:6">
      <c r="A68" s="1300" t="s">
        <v>55</v>
      </c>
      <c r="B68" s="1300" t="s">
        <v>59</v>
      </c>
      <c r="C68" s="1309">
        <v>5</v>
      </c>
      <c r="D68" s="1309">
        <v>95078.813538226197</v>
      </c>
      <c r="E68" s="1309">
        <v>21</v>
      </c>
      <c r="F68" s="1309">
        <v>357886.1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48363693</v>
      </c>
      <c r="E73" s="450"/>
      <c r="F73" s="330"/>
    </row>
    <row r="74" spans="1:6">
      <c r="A74" s="1305" t="s">
        <v>63</v>
      </c>
      <c r="B74" s="1305" t="s">
        <v>710</v>
      </c>
      <c r="C74" s="1319" t="s">
        <v>712</v>
      </c>
      <c r="D74" s="1320">
        <v>5002242.4284208138</v>
      </c>
      <c r="E74" s="450"/>
      <c r="F74" s="330"/>
    </row>
    <row r="75" spans="1:6">
      <c r="A75" s="1305" t="s">
        <v>64</v>
      </c>
      <c r="B75" s="1305" t="s">
        <v>709</v>
      </c>
      <c r="C75" s="1319" t="s">
        <v>713</v>
      </c>
      <c r="D75" s="1320">
        <v>51533081</v>
      </c>
      <c r="E75" s="450"/>
      <c r="F75" s="330"/>
    </row>
    <row r="76" spans="1:6">
      <c r="A76" s="1305" t="s">
        <v>64</v>
      </c>
      <c r="B76" s="1305" t="s">
        <v>710</v>
      </c>
      <c r="C76" s="1319" t="s">
        <v>714</v>
      </c>
      <c r="D76" s="1320">
        <v>2856075.4284208142</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313727.14315837173</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3591.4782873349286</v>
      </c>
      <c r="C90" s="330"/>
      <c r="D90" s="330"/>
      <c r="E90" s="330"/>
      <c r="F90" s="330"/>
    </row>
    <row r="91" spans="1:6">
      <c r="A91" s="1305" t="s">
        <v>67</v>
      </c>
      <c r="B91" s="1306">
        <v>4673.9889754658734</v>
      </c>
      <c r="C91" s="330"/>
      <c r="D91" s="330"/>
      <c r="E91" s="330"/>
      <c r="F91" s="330"/>
    </row>
    <row r="92" spans="1:6">
      <c r="A92" s="1300" t="s">
        <v>68</v>
      </c>
      <c r="B92" s="1301">
        <v>3302.0615376202168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2964</v>
      </c>
      <c r="C97" s="330"/>
      <c r="D97" s="330"/>
      <c r="E97" s="330"/>
      <c r="F97" s="330"/>
    </row>
    <row r="98" spans="1:6">
      <c r="A98" s="1305" t="s">
        <v>71</v>
      </c>
      <c r="B98" s="1306">
        <v>3</v>
      </c>
      <c r="C98" s="330"/>
      <c r="D98" s="330"/>
      <c r="E98" s="330"/>
      <c r="F98" s="330"/>
    </row>
    <row r="99" spans="1:6">
      <c r="A99" s="1305" t="s">
        <v>72</v>
      </c>
      <c r="B99" s="1306">
        <v>97</v>
      </c>
      <c r="C99" s="330"/>
      <c r="D99" s="330"/>
      <c r="E99" s="330"/>
      <c r="F99" s="330"/>
    </row>
    <row r="100" spans="1:6">
      <c r="A100" s="1305" t="s">
        <v>73</v>
      </c>
      <c r="B100" s="1306">
        <v>931</v>
      </c>
      <c r="C100" s="330"/>
      <c r="D100" s="330"/>
      <c r="E100" s="330"/>
      <c r="F100" s="330"/>
    </row>
    <row r="101" spans="1:6">
      <c r="A101" s="1305" t="s">
        <v>74</v>
      </c>
      <c r="B101" s="1306">
        <v>139</v>
      </c>
      <c r="C101" s="330"/>
      <c r="D101" s="330"/>
      <c r="E101" s="330"/>
      <c r="F101" s="330"/>
    </row>
    <row r="102" spans="1:6">
      <c r="A102" s="1305" t="s">
        <v>75</v>
      </c>
      <c r="B102" s="1306">
        <v>150</v>
      </c>
      <c r="C102" s="330"/>
      <c r="D102" s="330"/>
      <c r="E102" s="330"/>
      <c r="F102" s="330"/>
    </row>
    <row r="103" spans="1:6">
      <c r="A103" s="1305" t="s">
        <v>76</v>
      </c>
      <c r="B103" s="1306">
        <v>294</v>
      </c>
      <c r="C103" s="330"/>
      <c r="D103" s="330"/>
      <c r="E103" s="330"/>
      <c r="F103" s="330"/>
    </row>
    <row r="104" spans="1:6">
      <c r="A104" s="1305" t="s">
        <v>77</v>
      </c>
      <c r="B104" s="1306">
        <v>4270</v>
      </c>
      <c r="C104" s="330"/>
      <c r="D104" s="330"/>
      <c r="E104" s="330"/>
      <c r="F104" s="330"/>
    </row>
    <row r="105" spans="1:6">
      <c r="A105" s="1300" t="s">
        <v>78</v>
      </c>
      <c r="B105" s="1309">
        <v>13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28</v>
      </c>
      <c r="C123" s="1306">
        <v>24</v>
      </c>
      <c r="D123" s="330"/>
      <c r="E123" s="330"/>
      <c r="F123" s="330"/>
    </row>
    <row r="124" spans="1:6" s="43" customFormat="1">
      <c r="A124" s="1307" t="s">
        <v>88</v>
      </c>
      <c r="B124" s="1328">
        <v>3</v>
      </c>
      <c r="C124" s="1328">
        <v>3</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207</v>
      </c>
      <c r="C129" s="330"/>
      <c r="D129" s="330"/>
      <c r="E129" s="330"/>
      <c r="F129" s="330"/>
    </row>
    <row r="130" spans="1:6">
      <c r="A130" s="1305" t="s">
        <v>294</v>
      </c>
      <c r="B130" s="1306">
        <v>5</v>
      </c>
      <c r="C130" s="330"/>
      <c r="D130" s="330"/>
      <c r="E130" s="330"/>
      <c r="F130" s="330"/>
    </row>
    <row r="131" spans="1:6">
      <c r="A131" s="1305" t="s">
        <v>295</v>
      </c>
      <c r="B131" s="1306">
        <v>1</v>
      </c>
      <c r="C131" s="330"/>
      <c r="D131" s="330"/>
      <c r="E131" s="330"/>
      <c r="F131" s="330"/>
    </row>
    <row r="132" spans="1:6">
      <c r="A132" s="1300" t="s">
        <v>296</v>
      </c>
      <c r="B132" s="1301">
        <v>22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92183.874371007769</v>
      </c>
      <c r="C3" s="43" t="s">
        <v>169</v>
      </c>
      <c r="D3" s="43"/>
      <c r="E3" s="154"/>
      <c r="F3" s="43"/>
      <c r="G3" s="43"/>
      <c r="H3" s="43"/>
      <c r="I3" s="43"/>
      <c r="J3" s="43"/>
      <c r="K3" s="96"/>
    </row>
    <row r="4" spans="1:11">
      <c r="A4" s="359" t="s">
        <v>170</v>
      </c>
      <c r="B4" s="49">
        <f>IF(ISERROR('SEAP template'!B78+'SEAP template'!C78),0,'SEAP template'!B78+'SEAP template'!C78)</f>
        <v>11567.52880042102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0.19326820978900999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1944.8879999999999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1944.8879999999999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0.19326820978900999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375.88502200012806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40633.000999999997</v>
      </c>
      <c r="C5" s="17">
        <f>IF(ISERROR('Eigen informatie GS &amp; warmtenet'!B57),0,'Eigen informatie GS &amp; warmtenet'!B57)</f>
        <v>0</v>
      </c>
      <c r="D5" s="30">
        <f>(SUM(HH_hh_gas_kWh,HH_rest_gas_kWh)/1000)*0.902</f>
        <v>66180.366626967341</v>
      </c>
      <c r="E5" s="17">
        <f>B46*B57</f>
        <v>15791.735266889256</v>
      </c>
      <c r="F5" s="17">
        <f>B51*B62</f>
        <v>46855.395524706502</v>
      </c>
      <c r="G5" s="18"/>
      <c r="H5" s="17"/>
      <c r="I5" s="17"/>
      <c r="J5" s="17">
        <f>B50*B61+C50*C61</f>
        <v>1420.4624536260499</v>
      </c>
      <c r="K5" s="17"/>
      <c r="L5" s="17"/>
      <c r="M5" s="17"/>
      <c r="N5" s="17">
        <f>B48*B59+C48*C59</f>
        <v>16318.580821434676</v>
      </c>
      <c r="O5" s="17">
        <f>B69*B70*B71</f>
        <v>365.82000000000005</v>
      </c>
      <c r="P5" s="17">
        <f>B77*B78*B79/1000-B77*B78*B79/1000/B80</f>
        <v>1010.5333333333333</v>
      </c>
    </row>
    <row r="6" spans="1:16">
      <c r="A6" s="16" t="s">
        <v>630</v>
      </c>
      <c r="B6" s="763">
        <f>kWh_PV_kleiner_dan_10kW</f>
        <v>4673.9889754658734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45306.989975465869</v>
      </c>
      <c r="C8" s="21">
        <f>C5</f>
        <v>0</v>
      </c>
      <c r="D8" s="21">
        <f>D5</f>
        <v>66180.366626967341</v>
      </c>
      <c r="E8" s="21">
        <f>E5</f>
        <v>15791.735266889256</v>
      </c>
      <c r="F8" s="21">
        <f>F5</f>
        <v>46855.395524706502</v>
      </c>
      <c r="G8" s="21"/>
      <c r="H8" s="21"/>
      <c r="I8" s="21"/>
      <c r="J8" s="21">
        <f>J5</f>
        <v>1420.4624536260499</v>
      </c>
      <c r="K8" s="21"/>
      <c r="L8" s="21">
        <f>L5</f>
        <v>0</v>
      </c>
      <c r="M8" s="21">
        <f>M5</f>
        <v>0</v>
      </c>
      <c r="N8" s="21">
        <f>N5</f>
        <v>16318.580821434676</v>
      </c>
      <c r="O8" s="21">
        <f>O5</f>
        <v>365.82000000000005</v>
      </c>
      <c r="P8" s="21">
        <f>P5</f>
        <v>1010.5333333333333</v>
      </c>
    </row>
    <row r="9" spans="1:16">
      <c r="B9" s="19"/>
      <c r="C9" s="19"/>
      <c r="D9" s="258"/>
      <c r="E9" s="19"/>
      <c r="F9" s="19"/>
      <c r="G9" s="19"/>
      <c r="H9" s="19"/>
      <c r="I9" s="19"/>
      <c r="J9" s="19"/>
      <c r="K9" s="19"/>
      <c r="L9" s="19"/>
      <c r="M9" s="19"/>
      <c r="N9" s="19"/>
      <c r="O9" s="19"/>
      <c r="P9" s="19"/>
    </row>
    <row r="10" spans="1:16">
      <c r="A10" s="24" t="s">
        <v>213</v>
      </c>
      <c r="B10" s="25">
        <f ca="1">'EF ele_warmte'!B12</f>
        <v>0.19326820978900999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8756.4008434869102</v>
      </c>
      <c r="C12" s="23">
        <f ca="1">C10*C8</f>
        <v>0</v>
      </c>
      <c r="D12" s="23">
        <f>D8*D10</f>
        <v>13368.434058647405</v>
      </c>
      <c r="E12" s="23">
        <f>E10*E8</f>
        <v>3584.7239055838613</v>
      </c>
      <c r="F12" s="23">
        <f>F10*F8</f>
        <v>12510.390605096636</v>
      </c>
      <c r="G12" s="23"/>
      <c r="H12" s="23"/>
      <c r="I12" s="23"/>
      <c r="J12" s="23">
        <f>J10*J8</f>
        <v>502.84370858362161</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2964</v>
      </c>
      <c r="C18" s="166" t="s">
        <v>110</v>
      </c>
      <c r="D18" s="228"/>
      <c r="E18" s="15"/>
    </row>
    <row r="19" spans="1:7">
      <c r="A19" s="171" t="s">
        <v>71</v>
      </c>
      <c r="B19" s="37">
        <f>aantalw2001_ander</f>
        <v>3</v>
      </c>
      <c r="C19" s="166" t="s">
        <v>110</v>
      </c>
      <c r="D19" s="229"/>
      <c r="E19" s="15"/>
    </row>
    <row r="20" spans="1:7">
      <c r="A20" s="171" t="s">
        <v>72</v>
      </c>
      <c r="B20" s="37">
        <f>aantalw2001_propaan</f>
        <v>97</v>
      </c>
      <c r="C20" s="167">
        <f>IF(ISERROR(B20/SUM($B$20,$B$21,$B$22)*100),0,B20/SUM($B$20,$B$21,$B$22)*100)</f>
        <v>8.3119108826049697</v>
      </c>
      <c r="D20" s="229"/>
      <c r="E20" s="15"/>
    </row>
    <row r="21" spans="1:7">
      <c r="A21" s="171" t="s">
        <v>73</v>
      </c>
      <c r="B21" s="37">
        <f>aantalw2001_elektriciteit</f>
        <v>931</v>
      </c>
      <c r="C21" s="167">
        <f>IF(ISERROR(B21/SUM($B$20,$B$21,$B$22)*100),0,B21/SUM($B$20,$B$21,$B$22)*100)</f>
        <v>79.777206512425025</v>
      </c>
      <c r="D21" s="229"/>
      <c r="E21" s="15"/>
    </row>
    <row r="22" spans="1:7">
      <c r="A22" s="171" t="s">
        <v>74</v>
      </c>
      <c r="B22" s="37">
        <f>aantalw2001_hout</f>
        <v>139</v>
      </c>
      <c r="C22" s="167">
        <f>IF(ISERROR(B22/SUM($B$20,$B$21,$B$22)*100),0,B22/SUM($B$20,$B$21,$B$22)*100)</f>
        <v>11.910882604970009</v>
      </c>
      <c r="D22" s="229"/>
      <c r="E22" s="15"/>
    </row>
    <row r="23" spans="1:7">
      <c r="A23" s="171" t="s">
        <v>75</v>
      </c>
      <c r="B23" s="37">
        <f>aantalw2001_niet_gespec</f>
        <v>150</v>
      </c>
      <c r="C23" s="166" t="s">
        <v>110</v>
      </c>
      <c r="D23" s="228"/>
      <c r="E23" s="15"/>
    </row>
    <row r="24" spans="1:7">
      <c r="A24" s="171" t="s">
        <v>76</v>
      </c>
      <c r="B24" s="37">
        <f>aantalw2001_steenkool</f>
        <v>294</v>
      </c>
      <c r="C24" s="166" t="s">
        <v>110</v>
      </c>
      <c r="D24" s="229"/>
      <c r="E24" s="15"/>
    </row>
    <row r="25" spans="1:7">
      <c r="A25" s="171" t="s">
        <v>77</v>
      </c>
      <c r="B25" s="37">
        <f>aantalw2001_stookolie</f>
        <v>4270</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736</v>
      </c>
      <c r="B28" s="37">
        <f>aantalHuishoudens</f>
        <v>9961</v>
      </c>
      <c r="C28" s="36"/>
      <c r="D28" s="228"/>
    </row>
    <row r="29" spans="1:7" s="15" customFormat="1">
      <c r="A29" s="230" t="s">
        <v>737</v>
      </c>
      <c r="B29" s="37">
        <f>SUM(HH_hh_gas_aantal,HH_rest_gas_aantal)</f>
        <v>5383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5383</v>
      </c>
      <c r="C32" s="167">
        <f>IF(ISERROR(B32/SUM($B$32,$B$34,$B$35,$B$36,$B$38,$B$39)*100),0,B32/SUM($B$32,$B$34,$B$35,$B$36,$B$38,$B$39)*100)</f>
        <v>54.329834477190154</v>
      </c>
      <c r="D32" s="233"/>
      <c r="G32" s="15"/>
    </row>
    <row r="33" spans="1:7">
      <c r="A33" s="171" t="s">
        <v>71</v>
      </c>
      <c r="B33" s="34" t="s">
        <v>110</v>
      </c>
      <c r="C33" s="167"/>
      <c r="D33" s="233"/>
      <c r="G33" s="15"/>
    </row>
    <row r="34" spans="1:7">
      <c r="A34" s="171" t="s">
        <v>72</v>
      </c>
      <c r="B34" s="33">
        <f>IF((($B$28-$B$32-$B$39-$B$77-$B$38)*C20/100)&lt;0,0,($B$28-$B$32-$B$39-$B$77-$B$38)*C20/100)</f>
        <v>197.82347900599828</v>
      </c>
      <c r="C34" s="167">
        <f>IF(ISERROR(B34/SUM($B$32,$B$34,$B$35,$B$36,$B$38,$B$39)*100),0,B34/SUM($B$32,$B$34,$B$35,$B$36,$B$38,$B$39)*100)</f>
        <v>1.9966035426523847</v>
      </c>
      <c r="D34" s="233"/>
      <c r="G34" s="15"/>
    </row>
    <row r="35" spans="1:7">
      <c r="A35" s="171" t="s">
        <v>73</v>
      </c>
      <c r="B35" s="33">
        <f>IF((($B$28-$B$32-$B$39-$B$77-$B$38)*C21/100)&lt;0,0,($B$28-$B$32-$B$39-$B$77-$B$38)*C21/100)</f>
        <v>1898.6975149957154</v>
      </c>
      <c r="C35" s="167">
        <f>IF(ISERROR(B35/SUM($B$32,$B$34,$B$35,$B$36,$B$38,$B$39)*100),0,B35/SUM($B$32,$B$34,$B$35,$B$36,$B$38,$B$39)*100)</f>
        <v>19.163277301127525</v>
      </c>
      <c r="D35" s="233"/>
      <c r="G35" s="15"/>
    </row>
    <row r="36" spans="1:7">
      <c r="A36" s="171" t="s">
        <v>74</v>
      </c>
      <c r="B36" s="33">
        <f>IF((($B$28-$B$32-$B$39-$B$77-$B$38)*C22/100)&lt;0,0,($B$28-$B$32-$B$39-$B$77-$B$38)*C22/100)</f>
        <v>283.47900599828625</v>
      </c>
      <c r="C36" s="167">
        <f>IF(ISERROR(B36/SUM($B$32,$B$34,$B$35,$B$36,$B$38,$B$39)*100),0,B36/SUM($B$32,$B$34,$B$35,$B$36,$B$38,$B$39)*100)</f>
        <v>2.861112293079191</v>
      </c>
      <c r="D36" s="233"/>
      <c r="G36" s="15"/>
    </row>
    <row r="37" spans="1:7">
      <c r="A37" s="171" t="s">
        <v>75</v>
      </c>
      <c r="B37" s="34" t="s">
        <v>110</v>
      </c>
      <c r="C37" s="167"/>
      <c r="D37" s="173"/>
      <c r="G37" s="15"/>
    </row>
    <row r="38" spans="1:7">
      <c r="A38" s="171" t="s">
        <v>76</v>
      </c>
      <c r="B38" s="33">
        <f>IF((B24-(B29-B18)*0.1)&lt;0,0,B24-(B29-B18)*0.1)</f>
        <v>52.099999999999994</v>
      </c>
      <c r="C38" s="167">
        <f>IF(ISERROR(B38/SUM($B$32,$B$34,$B$35,$B$36,$B$38,$B$39)*100),0,B38/SUM($B$32,$B$34,$B$35,$B$36,$B$38,$B$39)*100)</f>
        <v>0.52583770690351228</v>
      </c>
      <c r="D38" s="234"/>
      <c r="G38" s="15"/>
    </row>
    <row r="39" spans="1:7">
      <c r="A39" s="171" t="s">
        <v>77</v>
      </c>
      <c r="B39" s="33">
        <f>IF((B25-(B29-B18))&lt;0,0,B25-(B29-B18)*0.9)</f>
        <v>2092.9</v>
      </c>
      <c r="C39" s="167">
        <f>IF(ISERROR(B39/SUM($B$32,$B$34,$B$35,$B$36,$B$38,$B$39)*100),0,B39/SUM($B$32,$B$34,$B$35,$B$36,$B$38,$B$39)*100)</f>
        <v>21.123334679047232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5383</v>
      </c>
      <c r="C44" s="34" t="s">
        <v>110</v>
      </c>
      <c r="D44" s="174"/>
    </row>
    <row r="45" spans="1:7">
      <c r="A45" s="171" t="s">
        <v>71</v>
      </c>
      <c r="B45" s="33" t="str">
        <f t="shared" si="0"/>
        <v>-</v>
      </c>
      <c r="C45" s="34" t="s">
        <v>110</v>
      </c>
      <c r="D45" s="174"/>
    </row>
    <row r="46" spans="1:7">
      <c r="A46" s="171" t="s">
        <v>72</v>
      </c>
      <c r="B46" s="33">
        <f t="shared" si="0"/>
        <v>197.82347900599828</v>
      </c>
      <c r="C46" s="34" t="s">
        <v>110</v>
      </c>
      <c r="D46" s="174"/>
    </row>
    <row r="47" spans="1:7">
      <c r="A47" s="171" t="s">
        <v>73</v>
      </c>
      <c r="B47" s="33">
        <f t="shared" si="0"/>
        <v>1898.6975149957154</v>
      </c>
      <c r="C47" s="34" t="s">
        <v>110</v>
      </c>
      <c r="D47" s="174"/>
    </row>
    <row r="48" spans="1:7">
      <c r="A48" s="171" t="s">
        <v>74</v>
      </c>
      <c r="B48" s="33">
        <f t="shared" si="0"/>
        <v>283.47900599828625</v>
      </c>
      <c r="C48" s="33">
        <f>B48*10</f>
        <v>2834.7900599828627</v>
      </c>
      <c r="D48" s="234"/>
    </row>
    <row r="49" spans="1:6">
      <c r="A49" s="171" t="s">
        <v>75</v>
      </c>
      <c r="B49" s="33" t="str">
        <f t="shared" si="0"/>
        <v>-</v>
      </c>
      <c r="C49" s="34" t="s">
        <v>110</v>
      </c>
      <c r="D49" s="234"/>
    </row>
    <row r="50" spans="1:6">
      <c r="A50" s="171" t="s">
        <v>76</v>
      </c>
      <c r="B50" s="33">
        <f t="shared" si="0"/>
        <v>52.099999999999994</v>
      </c>
      <c r="C50" s="33">
        <f>B50*2</f>
        <v>104.19999999999999</v>
      </c>
      <c r="D50" s="234"/>
    </row>
    <row r="51" spans="1:6">
      <c r="A51" s="171" t="s">
        <v>77</v>
      </c>
      <c r="B51" s="33">
        <f t="shared" si="0"/>
        <v>2092.9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234</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23030.374499999998</v>
      </c>
      <c r="C5" s="17">
        <f>IF(ISERROR('Eigen informatie GS &amp; warmtenet'!B58),0,'Eigen informatie GS &amp; warmtenet'!B58)</f>
        <v>0</v>
      </c>
      <c r="D5" s="30">
        <f>SUM(D6:D12)</f>
        <v>18351.391284016729</v>
      </c>
      <c r="E5" s="17">
        <f>SUM(E6:E12)</f>
        <v>202.75566788170096</v>
      </c>
      <c r="F5" s="17">
        <f>SUM(F6:F12)</f>
        <v>3250.4996400475461</v>
      </c>
      <c r="G5" s="18"/>
      <c r="H5" s="17"/>
      <c r="I5" s="17"/>
      <c r="J5" s="17">
        <f>SUM(J6:J12)</f>
        <v>0</v>
      </c>
      <c r="K5" s="17"/>
      <c r="L5" s="17"/>
      <c r="M5" s="17"/>
      <c r="N5" s="17">
        <f>SUM(N6:N12)</f>
        <v>1483.0863184961709</v>
      </c>
      <c r="O5" s="17">
        <f>B38*B39*B40</f>
        <v>7.8166666666666664</v>
      </c>
      <c r="P5" s="17">
        <f>B46*B47*B48/1000-B46*B47*B48/1000/B49</f>
        <v>19.066666666666666</v>
      </c>
      <c r="R5" s="32"/>
    </row>
    <row r="6" spans="1:18">
      <c r="A6" s="32" t="s">
        <v>53</v>
      </c>
      <c r="B6" s="37">
        <f>B26</f>
        <v>6732.0230000000001</v>
      </c>
      <c r="C6" s="33"/>
      <c r="D6" s="37">
        <f>IF(ISERROR(TER_kantoor_gas_kWh/1000),0,TER_kantoor_gas_kWh/1000)*0.902</f>
        <v>3997.6510410621258</v>
      </c>
      <c r="E6" s="33">
        <f>$C$26*'E Balans VL '!I12/100/3.6*1000000</f>
        <v>19.503658358826591</v>
      </c>
      <c r="F6" s="33">
        <f>$C$26*('E Balans VL '!L12+'E Balans VL '!N12)/100/3.6*1000000</f>
        <v>761.9166856338702</v>
      </c>
      <c r="G6" s="34"/>
      <c r="H6" s="33"/>
      <c r="I6" s="33"/>
      <c r="J6" s="33">
        <f>$C$26*('E Balans VL '!D12+'E Balans VL '!E12)/100/3.6*1000000</f>
        <v>0</v>
      </c>
      <c r="K6" s="33"/>
      <c r="L6" s="33"/>
      <c r="M6" s="33"/>
      <c r="N6" s="33">
        <f>$C$26*'E Balans VL '!Y12/100/3.6*1000000</f>
        <v>67.382589853978914</v>
      </c>
      <c r="O6" s="33"/>
      <c r="P6" s="33"/>
      <c r="R6" s="32"/>
    </row>
    <row r="7" spans="1:18">
      <c r="A7" s="32" t="s">
        <v>52</v>
      </c>
      <c r="B7" s="37">
        <f t="shared" ref="B7:B12" si="0">B27</f>
        <v>1131.318</v>
      </c>
      <c r="C7" s="33"/>
      <c r="D7" s="37">
        <f>IF(ISERROR(TER_horeca_gas_kWh/1000),0,TER_horeca_gas_kWh/1000)*0.902</f>
        <v>846.31855429609402</v>
      </c>
      <c r="E7" s="33">
        <f>$C$27*'E Balans VL '!I9/100/3.6*1000000</f>
        <v>47.489568799978315</v>
      </c>
      <c r="F7" s="33">
        <f>$C$27*('E Balans VL '!L9+'E Balans VL '!N9)/100/3.6*1000000</f>
        <v>243.08687216062125</v>
      </c>
      <c r="G7" s="34"/>
      <c r="H7" s="33"/>
      <c r="I7" s="33"/>
      <c r="J7" s="33">
        <f>$C$27*('E Balans VL '!D9+'E Balans VL '!E9)/100/3.6*1000000</f>
        <v>0</v>
      </c>
      <c r="K7" s="33"/>
      <c r="L7" s="33"/>
      <c r="M7" s="33"/>
      <c r="N7" s="33">
        <f>$C$27*'E Balans VL '!Y9/100/3.6*1000000</f>
        <v>0.29153075486517188</v>
      </c>
      <c r="O7" s="33"/>
      <c r="P7" s="33"/>
      <c r="R7" s="32"/>
    </row>
    <row r="8" spans="1:18">
      <c r="A8" s="6" t="s">
        <v>51</v>
      </c>
      <c r="B8" s="37">
        <f t="shared" si="0"/>
        <v>5017.8890000000001</v>
      </c>
      <c r="C8" s="33"/>
      <c r="D8" s="37">
        <f>IF(ISERROR(TER_handel_gas_kWh/1000),0,TER_handel_gas_kWh/1000)*0.902</f>
        <v>1778.934897241922</v>
      </c>
      <c r="E8" s="33">
        <f>$C$28*'E Balans VL '!I13/100/3.6*1000000</f>
        <v>53.89630413029758</v>
      </c>
      <c r="F8" s="33">
        <f>$C$28*('E Balans VL '!L13+'E Balans VL '!N13)/100/3.6*1000000</f>
        <v>649.60716792314952</v>
      </c>
      <c r="G8" s="34"/>
      <c r="H8" s="33"/>
      <c r="I8" s="33"/>
      <c r="J8" s="33">
        <f>$C$28*('E Balans VL '!D13+'E Balans VL '!E13)/100/3.6*1000000</f>
        <v>0</v>
      </c>
      <c r="K8" s="33"/>
      <c r="L8" s="33"/>
      <c r="M8" s="33"/>
      <c r="N8" s="33">
        <f>$C$28*'E Balans VL '!Y13/100/3.6*1000000</f>
        <v>40.705389556652307</v>
      </c>
      <c r="O8" s="33"/>
      <c r="P8" s="33"/>
      <c r="R8" s="32"/>
    </row>
    <row r="9" spans="1:18">
      <c r="A9" s="32" t="s">
        <v>50</v>
      </c>
      <c r="B9" s="37">
        <f t="shared" si="0"/>
        <v>251.05720000000002</v>
      </c>
      <c r="C9" s="33"/>
      <c r="D9" s="37">
        <f>IF(ISERROR(TER_gezond_gas_kWh/1000),0,TER_gezond_gas_kWh/1000)*0.902</f>
        <v>56.497154759498486</v>
      </c>
      <c r="E9" s="33">
        <f>$C$29*'E Balans VL '!I10/100/3.6*1000000</f>
        <v>0.19985776914466866</v>
      </c>
      <c r="F9" s="33">
        <f>$C$29*('E Balans VL '!L10+'E Balans VL '!N10)/100/3.6*1000000</f>
        <v>30.519630763324741</v>
      </c>
      <c r="G9" s="34"/>
      <c r="H9" s="33"/>
      <c r="I9" s="33"/>
      <c r="J9" s="33">
        <f>$C$29*('E Balans VL '!D10+'E Balans VL '!E10)/100/3.6*1000000</f>
        <v>0</v>
      </c>
      <c r="K9" s="33"/>
      <c r="L9" s="33"/>
      <c r="M9" s="33"/>
      <c r="N9" s="33">
        <f>$C$29*'E Balans VL '!Y10/100/3.6*1000000</f>
        <v>2.0279735483650265</v>
      </c>
      <c r="O9" s="33"/>
      <c r="P9" s="33"/>
      <c r="R9" s="32"/>
    </row>
    <row r="10" spans="1:18">
      <c r="A10" s="32" t="s">
        <v>49</v>
      </c>
      <c r="B10" s="37">
        <f t="shared" si="0"/>
        <v>898.92230000000006</v>
      </c>
      <c r="C10" s="33"/>
      <c r="D10" s="37">
        <f>IF(ISERROR(TER_ander_gas_kWh/1000),0,TER_ander_gas_kWh/1000)*0.902</f>
        <v>6128.3106596793659</v>
      </c>
      <c r="E10" s="33">
        <f>$C$30*'E Balans VL '!I14/100/3.6*1000000</f>
        <v>3.0806539454242752</v>
      </c>
      <c r="F10" s="33">
        <f>$C$30*('E Balans VL '!L14+'E Balans VL '!N14)/100/3.6*1000000</f>
        <v>200.78271392058681</v>
      </c>
      <c r="G10" s="34"/>
      <c r="H10" s="33"/>
      <c r="I10" s="33"/>
      <c r="J10" s="33">
        <f>$C$30*('E Balans VL '!D14+'E Balans VL '!E14)/100/3.6*1000000</f>
        <v>0</v>
      </c>
      <c r="K10" s="33"/>
      <c r="L10" s="33"/>
      <c r="M10" s="33"/>
      <c r="N10" s="33">
        <f>$C$30*'E Balans VL '!Y14/100/3.6*1000000</f>
        <v>633.2057788365338</v>
      </c>
      <c r="O10" s="33"/>
      <c r="P10" s="33"/>
      <c r="R10" s="32"/>
    </row>
    <row r="11" spans="1:18">
      <c r="A11" s="32" t="s">
        <v>54</v>
      </c>
      <c r="B11" s="37">
        <f t="shared" si="0"/>
        <v>332.601</v>
      </c>
      <c r="C11" s="33"/>
      <c r="D11" s="37">
        <f>IF(ISERROR(TER_onderwijs_gas_kWh/1000),0,TER_onderwijs_gas_kWh/1000)*0.902</f>
        <v>657.501555303749</v>
      </c>
      <c r="E11" s="33">
        <f>$C$31*'E Balans VL '!I11/100/3.6*1000000</f>
        <v>0.22991682799536084</v>
      </c>
      <c r="F11" s="33">
        <f>$C$31*('E Balans VL '!L11+'E Balans VL '!N11)/100/3.6*1000000</f>
        <v>87.065280396491971</v>
      </c>
      <c r="G11" s="34"/>
      <c r="H11" s="33"/>
      <c r="I11" s="33"/>
      <c r="J11" s="33">
        <f>$C$31*('E Balans VL '!D11+'E Balans VL '!E11)/100/3.6*1000000</f>
        <v>0</v>
      </c>
      <c r="K11" s="33"/>
      <c r="L11" s="33"/>
      <c r="M11" s="33"/>
      <c r="N11" s="33">
        <f>$C$31*'E Balans VL '!Y11/100/3.6*1000000</f>
        <v>0.33107596675669598</v>
      </c>
      <c r="O11" s="33"/>
      <c r="P11" s="33"/>
      <c r="R11" s="32"/>
    </row>
    <row r="12" spans="1:18">
      <c r="A12" s="32" t="s">
        <v>259</v>
      </c>
      <c r="B12" s="37">
        <f t="shared" si="0"/>
        <v>8666.5640000000003</v>
      </c>
      <c r="C12" s="33"/>
      <c r="D12" s="37">
        <f>IF(ISERROR(TER_rest_gas_kWh/1000),0,TER_rest_gas_kWh/1000)*0.902</f>
        <v>4886.1774216739732</v>
      </c>
      <c r="E12" s="33">
        <f>$C$32*'E Balans VL '!I8/100/3.6*1000000</f>
        <v>78.355708050034167</v>
      </c>
      <c r="F12" s="33">
        <f>$C$32*('E Balans VL '!L8+'E Balans VL '!N8)/100/3.6*1000000</f>
        <v>1277.5212892495017</v>
      </c>
      <c r="G12" s="34"/>
      <c r="H12" s="33"/>
      <c r="I12" s="33"/>
      <c r="J12" s="33">
        <f>$C$32*('E Balans VL '!D8+'E Balans VL '!E8)/100/3.6*1000000</f>
        <v>0</v>
      </c>
      <c r="K12" s="33"/>
      <c r="L12" s="33"/>
      <c r="M12" s="33"/>
      <c r="N12" s="33">
        <f>$C$32*'E Balans VL '!Y8/100/3.6*1000000</f>
        <v>739.14197997901897</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23030.374499999998</v>
      </c>
      <c r="C16" s="21">
        <f t="shared" ca="1" si="1"/>
        <v>0</v>
      </c>
      <c r="D16" s="21">
        <f t="shared" ca="1" si="1"/>
        <v>18351.391284016729</v>
      </c>
      <c r="E16" s="21">
        <f t="shared" si="1"/>
        <v>202.75566788170096</v>
      </c>
      <c r="F16" s="21">
        <f t="shared" ca="1" si="1"/>
        <v>3250.4996400475461</v>
      </c>
      <c r="G16" s="21">
        <f t="shared" si="1"/>
        <v>0</v>
      </c>
      <c r="H16" s="21">
        <f t="shared" si="1"/>
        <v>0</v>
      </c>
      <c r="I16" s="21">
        <f t="shared" si="1"/>
        <v>0</v>
      </c>
      <c r="J16" s="21">
        <f t="shared" si="1"/>
        <v>0</v>
      </c>
      <c r="K16" s="21">
        <f t="shared" si="1"/>
        <v>0</v>
      </c>
      <c r="L16" s="21">
        <f t="shared" ca="1" si="1"/>
        <v>0</v>
      </c>
      <c r="M16" s="21">
        <f t="shared" si="1"/>
        <v>0</v>
      </c>
      <c r="N16" s="21">
        <f t="shared" ca="1" si="1"/>
        <v>1483.0863184961709</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0.19326820978900999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4451.0392503854655</v>
      </c>
      <c r="C20" s="23">
        <f t="shared" ref="C20:P20" ca="1" si="2">C16*C18</f>
        <v>0</v>
      </c>
      <c r="D20" s="23">
        <f t="shared" ca="1" si="2"/>
        <v>3706.9810393713792</v>
      </c>
      <c r="E20" s="23">
        <f t="shared" si="2"/>
        <v>46.025536609146116</v>
      </c>
      <c r="F20" s="23">
        <f t="shared" ca="1" si="2"/>
        <v>867.8834038926949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6732.0230000000001</v>
      </c>
      <c r="C26" s="39">
        <f>IF(ISERROR(B26*3.6/1000000/'E Balans VL '!Z12*100),0,B26*3.6/1000000/'E Balans VL '!Z12*100)</f>
        <v>0.14787666819295595</v>
      </c>
      <c r="D26" s="237" t="s">
        <v>691</v>
      </c>
      <c r="F26" s="6"/>
    </row>
    <row r="27" spans="1:18">
      <c r="A27" s="231" t="s">
        <v>52</v>
      </c>
      <c r="B27" s="33">
        <f>IF(ISERROR(TER_horeca_ele_kWh/1000),0,TER_horeca_ele_kWh/1000)</f>
        <v>1131.318</v>
      </c>
      <c r="C27" s="39">
        <f>IF(ISERROR(B27*3.6/1000000/'E Balans VL '!Z9*100),0,B27*3.6/1000000/'E Balans VL '!Z9*100)</f>
        <v>9.0912678411018855E-2</v>
      </c>
      <c r="D27" s="237" t="s">
        <v>691</v>
      </c>
      <c r="F27" s="6"/>
    </row>
    <row r="28" spans="1:18">
      <c r="A28" s="171" t="s">
        <v>51</v>
      </c>
      <c r="B28" s="33">
        <f>IF(ISERROR(TER_handel_ele_kWh/1000),0,TER_handel_ele_kWh/1000)</f>
        <v>5017.8890000000001</v>
      </c>
      <c r="C28" s="39">
        <f>IF(ISERROR(B28*3.6/1000000/'E Balans VL '!Z13*100),0,B28*3.6/1000000/'E Balans VL '!Z13*100)</f>
        <v>0.14837547215913965</v>
      </c>
      <c r="D28" s="237" t="s">
        <v>691</v>
      </c>
      <c r="F28" s="6"/>
    </row>
    <row r="29" spans="1:18">
      <c r="A29" s="231" t="s">
        <v>50</v>
      </c>
      <c r="B29" s="33">
        <f>IF(ISERROR(TER_gezond_ele_kWh/1000),0,TER_gezond_ele_kWh/1000)</f>
        <v>251.05720000000002</v>
      </c>
      <c r="C29" s="39">
        <f>IF(ISERROR(B29*3.6/1000000/'E Balans VL '!Z10*100),0,B29*3.6/1000000/'E Balans VL '!Z10*100)</f>
        <v>2.8287664714461556E-2</v>
      </c>
      <c r="D29" s="237" t="s">
        <v>691</v>
      </c>
      <c r="F29" s="6"/>
    </row>
    <row r="30" spans="1:18">
      <c r="A30" s="231" t="s">
        <v>49</v>
      </c>
      <c r="B30" s="33">
        <f>IF(ISERROR(TER_ander_ele_kWh/1000),0,TER_ander_ele_kWh/1000)</f>
        <v>898.92230000000006</v>
      </c>
      <c r="C30" s="39">
        <f>IF(ISERROR(B30*3.6/1000000/'E Balans VL '!Z14*100),0,B30*3.6/1000000/'E Balans VL '!Z14*100)</f>
        <v>6.7983956910738205E-2</v>
      </c>
      <c r="D30" s="237" t="s">
        <v>691</v>
      </c>
      <c r="F30" s="6"/>
    </row>
    <row r="31" spans="1:18">
      <c r="A31" s="231" t="s">
        <v>54</v>
      </c>
      <c r="B31" s="33">
        <f>IF(ISERROR(TER_onderwijs_ele_kWh/1000),0,TER_onderwijs_ele_kWh/1000)</f>
        <v>332.601</v>
      </c>
      <c r="C31" s="39">
        <f>IF(ISERROR(B31*3.6/1000000/'E Balans VL '!Z11*100),0,B31*3.6/1000000/'E Balans VL '!Z11*100)</f>
        <v>6.9040246599250843E-2</v>
      </c>
      <c r="D31" s="237" t="s">
        <v>691</v>
      </c>
    </row>
    <row r="32" spans="1:18">
      <c r="A32" s="231" t="s">
        <v>259</v>
      </c>
      <c r="B32" s="33">
        <f>IF(ISERROR(TER_rest_ele_kWh/1000),0,TER_rest_ele_kWh/1000)</f>
        <v>8666.5640000000003</v>
      </c>
      <c r="C32" s="39">
        <f>IF(ISERROR(B32*3.6/1000000/'E Balans VL '!Z8*100),0,B32*3.6/1000000/'E Balans VL '!Z8*100)</f>
        <v>7.3010703333053178E-2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18253.552889999999</v>
      </c>
      <c r="C5" s="17">
        <f>IF(ISERROR('Eigen informatie GS &amp; warmtenet'!B59),0,'Eigen informatie GS &amp; warmtenet'!B59)</f>
        <v>0</v>
      </c>
      <c r="D5" s="30">
        <f>SUM(D6:D15)</f>
        <v>142630.77877938873</v>
      </c>
      <c r="E5" s="17">
        <f>SUM(E6:E15)</f>
        <v>1236.65263685745</v>
      </c>
      <c r="F5" s="17">
        <f>SUM(F6:F15)</f>
        <v>6350.2420471003052</v>
      </c>
      <c r="G5" s="18"/>
      <c r="H5" s="17"/>
      <c r="I5" s="17"/>
      <c r="J5" s="17">
        <f>SUM(J6:J15)</f>
        <v>76.221892780400879</v>
      </c>
      <c r="K5" s="17"/>
      <c r="L5" s="17"/>
      <c r="M5" s="17"/>
      <c r="N5" s="17">
        <f>SUM(N6:N15)</f>
        <v>1327.5535387634231</v>
      </c>
      <c r="O5" s="17">
        <f>B43*B44*B45</f>
        <v>0</v>
      </c>
      <c r="P5" s="17">
        <f>B51*B52*B53/1000-B51*B52*B53/1000/B54</f>
        <v>0</v>
      </c>
      <c r="R5" s="32"/>
    </row>
    <row r="6" spans="1:18">
      <c r="A6" s="6" t="s">
        <v>34</v>
      </c>
      <c r="B6" s="37">
        <f>IF( ISERROR(IND_ijzer_ele_kWh/1000),0,IND_ijzer_ele_kWh/1000)</f>
        <v>232.74189999999999</v>
      </c>
      <c r="C6" s="33"/>
      <c r="D6" s="37">
        <f>IF( ISERROR(IND_ijzer_gas_kWh/1000),0,IND_ijzer_gas_kWh/1000)*0.902</f>
        <v>131525.02155593241</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1311.4839999999999</v>
      </c>
      <c r="C8" s="33"/>
      <c r="D8" s="37">
        <f>IF( ISERROR(IND_metaal_Gas_kWH/1000),0,IND_metaal_Gas_kWH/1000)*0.902</f>
        <v>0</v>
      </c>
      <c r="E8" s="33">
        <f>C30*'E Balans VL '!I18/100/3.6*1000000</f>
        <v>32.821854424336379</v>
      </c>
      <c r="F8" s="33">
        <f>C30*'E Balans VL '!L18/100/3.6*1000000+C30*'E Balans VL '!N18/100/3.6*1000000</f>
        <v>411.02560925691438</v>
      </c>
      <c r="G8" s="34"/>
      <c r="H8" s="33"/>
      <c r="I8" s="33"/>
      <c r="J8" s="40">
        <f>C30*'E Balans VL '!D18/100/3.6*1000000+C30*'E Balans VL '!E18/100/3.6*1000000</f>
        <v>0</v>
      </c>
      <c r="K8" s="33"/>
      <c r="L8" s="33"/>
      <c r="M8" s="33"/>
      <c r="N8" s="33">
        <f>C30*'E Balans VL '!Y18/100/3.6*1000000</f>
        <v>32.94788167777601</v>
      </c>
      <c r="O8" s="33"/>
      <c r="P8" s="33"/>
      <c r="R8" s="32"/>
    </row>
    <row r="9" spans="1:18">
      <c r="A9" s="6" t="s">
        <v>32</v>
      </c>
      <c r="B9" s="37">
        <f t="shared" si="0"/>
        <v>1743.029</v>
      </c>
      <c r="C9" s="33"/>
      <c r="D9" s="37">
        <f>IF( ISERROR(IND_andere_gas_kWh/1000),0,IND_andere_gas_kWh/1000)*0.902</f>
        <v>966.5974067675694</v>
      </c>
      <c r="E9" s="33">
        <f>C31*'E Balans VL '!I19/100/3.6*1000000</f>
        <v>479.26148456866281</v>
      </c>
      <c r="F9" s="33">
        <f>C31*'E Balans VL '!L19/100/3.6*1000000+C31*'E Balans VL '!N19/100/3.6*1000000</f>
        <v>1373.8101608229547</v>
      </c>
      <c r="G9" s="34"/>
      <c r="H9" s="33"/>
      <c r="I9" s="33"/>
      <c r="J9" s="40">
        <f>C31*'E Balans VL '!D19/100/3.6*1000000+C31*'E Balans VL '!E19/100/3.6*1000000</f>
        <v>0</v>
      </c>
      <c r="K9" s="33"/>
      <c r="L9" s="33"/>
      <c r="M9" s="33"/>
      <c r="N9" s="33">
        <f>C31*'E Balans VL '!Y19/100/3.6*1000000</f>
        <v>140.41951461926411</v>
      </c>
      <c r="O9" s="33"/>
      <c r="P9" s="33"/>
      <c r="R9" s="32"/>
    </row>
    <row r="10" spans="1:18">
      <c r="A10" s="6" t="s">
        <v>40</v>
      </c>
      <c r="B10" s="37">
        <f t="shared" si="0"/>
        <v>714.39609999999993</v>
      </c>
      <c r="C10" s="33"/>
      <c r="D10" s="37">
        <f>IF( ISERROR(IND_voed_gas_kWh/1000),0,IND_voed_gas_kWh/1000)*0.902</f>
        <v>432.09097403949323</v>
      </c>
      <c r="E10" s="33">
        <f>C32*'E Balans VL '!I20/100/3.6*1000000</f>
        <v>7.2828746764428294</v>
      </c>
      <c r="F10" s="33">
        <f>C32*'E Balans VL '!L20/100/3.6*1000000+C32*'E Balans VL '!N20/100/3.6*1000000</f>
        <v>1349.4897647837061</v>
      </c>
      <c r="G10" s="34"/>
      <c r="H10" s="33"/>
      <c r="I10" s="33"/>
      <c r="J10" s="40">
        <f>C32*'E Balans VL '!D20/100/3.6*1000000+C32*'E Balans VL '!E20/100/3.6*1000000</f>
        <v>17.097836187622057</v>
      </c>
      <c r="K10" s="33"/>
      <c r="L10" s="33"/>
      <c r="M10" s="33"/>
      <c r="N10" s="33">
        <f>C32*'E Balans VL '!Y20/100/3.6*1000000</f>
        <v>376.56903304023024</v>
      </c>
      <c r="O10" s="33"/>
      <c r="P10" s="33"/>
      <c r="R10" s="32"/>
    </row>
    <row r="11" spans="1:18">
      <c r="A11" s="6" t="s">
        <v>39</v>
      </c>
      <c r="B11" s="37">
        <f t="shared" si="0"/>
        <v>19.196490000000001</v>
      </c>
      <c r="C11" s="33"/>
      <c r="D11" s="37">
        <f>IF( ISERROR(IND_textiel_gas_kWh/1000),0,IND_textiel_gas_kWh/1000)*0.902</f>
        <v>0</v>
      </c>
      <c r="E11" s="33">
        <f>C33*'E Balans VL '!I21/100/3.6*1000000</f>
        <v>5.0880089758893403E-2</v>
      </c>
      <c r="F11" s="33">
        <f>C33*'E Balans VL '!L21/100/3.6*1000000+C33*'E Balans VL '!N21/100/3.6*1000000</f>
        <v>0.8573350460539797</v>
      </c>
      <c r="G11" s="34"/>
      <c r="H11" s="33"/>
      <c r="I11" s="33"/>
      <c r="J11" s="40">
        <f>C33*'E Balans VL '!D21/100/3.6*1000000+C33*'E Balans VL '!E21/100/3.6*1000000</f>
        <v>0</v>
      </c>
      <c r="K11" s="33"/>
      <c r="L11" s="33"/>
      <c r="M11" s="33"/>
      <c r="N11" s="33">
        <f>C33*'E Balans VL '!Y21/100/3.6*1000000</f>
        <v>0.18091319579057108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139.88039999999998</v>
      </c>
      <c r="C13" s="33"/>
      <c r="D13" s="37">
        <f>IF( ISERROR(IND_papier_gas_kWh/1000),0,IND_papier_gas_kWh/1000)*0.902</f>
        <v>193.47235923535635</v>
      </c>
      <c r="E13" s="33">
        <f>C35*'E Balans VL '!I23/100/3.6*1000000</f>
        <v>0.28970175009964777</v>
      </c>
      <c r="F13" s="33">
        <f>C35*'E Balans VL '!L23/100/3.6*1000000+C35*'E Balans VL '!N23/100/3.6*1000000</f>
        <v>2.7741282117429229</v>
      </c>
      <c r="G13" s="34"/>
      <c r="H13" s="33"/>
      <c r="I13" s="33"/>
      <c r="J13" s="40">
        <f>C35*'E Balans VL '!D23/100/3.6*1000000+C35*'E Balans VL '!E23/100/3.6*1000000</f>
        <v>0</v>
      </c>
      <c r="K13" s="33"/>
      <c r="L13" s="33"/>
      <c r="M13" s="33"/>
      <c r="N13" s="33">
        <f>C35*'E Balans VL '!Y23/100/3.6*1000000</f>
        <v>9.7014127720380632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14092.825000000001</v>
      </c>
      <c r="C15" s="33"/>
      <c r="D15" s="37">
        <f>IF( ISERROR(IND_rest_gas_kWh/1000),0,IND_rest_gas_kWh/1000)*0.902</f>
        <v>9513.5964834138904</v>
      </c>
      <c r="E15" s="33">
        <f>C37*'E Balans VL '!I15/100/3.6*1000000</f>
        <v>716.94584134814943</v>
      </c>
      <c r="F15" s="33">
        <f>C37*'E Balans VL '!L15/100/3.6*1000000+C37*'E Balans VL '!N15/100/3.6*1000000</f>
        <v>3212.2850489789334</v>
      </c>
      <c r="G15" s="34"/>
      <c r="H15" s="33"/>
      <c r="I15" s="33"/>
      <c r="J15" s="40">
        <f>C37*'E Balans VL '!D15/100/3.6*1000000+C37*'E Balans VL '!E15/100/3.6*1000000</f>
        <v>59.124056592778828</v>
      </c>
      <c r="K15" s="33"/>
      <c r="L15" s="33"/>
      <c r="M15" s="33"/>
      <c r="N15" s="33">
        <f>C37*'E Balans VL '!Y15/100/3.6*1000000</f>
        <v>767.73478345832405</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18253.552889999999</v>
      </c>
      <c r="C18" s="21">
        <f>C5+C16</f>
        <v>0</v>
      </c>
      <c r="D18" s="21">
        <f>MAX((D5+D16),0)</f>
        <v>142630.77877938873</v>
      </c>
      <c r="E18" s="21">
        <f>MAX((E5+E16),0)</f>
        <v>1236.65263685745</v>
      </c>
      <c r="F18" s="21">
        <f>MAX((F5+F16),0)</f>
        <v>6350.2420471003052</v>
      </c>
      <c r="G18" s="21"/>
      <c r="H18" s="21"/>
      <c r="I18" s="21"/>
      <c r="J18" s="21">
        <f>MAX((J5+J16),0)</f>
        <v>76.221892780400879</v>
      </c>
      <c r="K18" s="21"/>
      <c r="L18" s="21">
        <f>MAX((L5+L16),0)</f>
        <v>0</v>
      </c>
      <c r="M18" s="21"/>
      <c r="N18" s="21">
        <f>MAX((N5+N16),0)</f>
        <v>1327.5535387634231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0.19326820978900999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3527.8314893393094</v>
      </c>
      <c r="C22" s="23">
        <f ca="1">C18*C20</f>
        <v>0</v>
      </c>
      <c r="D22" s="23">
        <f>D18*D20</f>
        <v>28811.417313436523</v>
      </c>
      <c r="E22" s="23">
        <f>E18*E20</f>
        <v>280.72014856664117</v>
      </c>
      <c r="F22" s="23">
        <f>F18*F20</f>
        <v>1695.5146265757817</v>
      </c>
      <c r="G22" s="23"/>
      <c r="H22" s="23"/>
      <c r="I22" s="23"/>
      <c r="J22" s="23">
        <f>J18*J20</f>
        <v>26.98255004426191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1311.4839999999999</v>
      </c>
      <c r="C30" s="39">
        <f>IF(ISERROR(B30*3.6/1000000/'E Balans VL '!Z18*100),0,B30*3.6/1000000/'E Balans VL '!Z18*100)</f>
        <v>0.1835640543128699</v>
      </c>
      <c r="D30" s="237" t="s">
        <v>691</v>
      </c>
    </row>
    <row r="31" spans="1:18">
      <c r="A31" s="6" t="s">
        <v>32</v>
      </c>
      <c r="B31" s="37">
        <f>IF( ISERROR(IND_ander_ele_kWh/1000),0,IND_ander_ele_kWh/1000)</f>
        <v>1743.029</v>
      </c>
      <c r="C31" s="39">
        <f>IF(ISERROR(B31*3.6/1000000/'E Balans VL '!Z19*100),0,B31*3.6/1000000/'E Balans VL '!Z19*100)</f>
        <v>7.6292096570523341E-2</v>
      </c>
      <c r="D31" s="237" t="s">
        <v>691</v>
      </c>
    </row>
    <row r="32" spans="1:18">
      <c r="A32" s="171" t="s">
        <v>40</v>
      </c>
      <c r="B32" s="37">
        <f>IF( ISERROR(IND_voed_ele_kWh/1000),0,IND_voed_ele_kWh/1000)</f>
        <v>714.39609999999993</v>
      </c>
      <c r="C32" s="39">
        <f>IF(ISERROR(B32*3.6/1000000/'E Balans VL '!Z20*100),0,B32*3.6/1000000/'E Balans VL '!Z20*100)</f>
        <v>0.17686075043571295</v>
      </c>
      <c r="D32" s="237" t="s">
        <v>691</v>
      </c>
    </row>
    <row r="33" spans="1:5">
      <c r="A33" s="171" t="s">
        <v>39</v>
      </c>
      <c r="B33" s="37">
        <f>IF( ISERROR(IND_textiel_ele_kWh/1000),0,IND_textiel_ele_kWh/1000)</f>
        <v>19.196490000000001</v>
      </c>
      <c r="C33" s="39">
        <f>IF(ISERROR(B33*3.6/1000000/'E Balans VL '!Z21*100),0,B33*3.6/1000000/'E Balans VL '!Z21*100)</f>
        <v>2.1631062737132735E-3</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139.88039999999998</v>
      </c>
      <c r="C35" s="39">
        <f>IF(ISERROR(B35*3.6/1000000/'E Balans VL '!Z22*100),0,B35*3.6/1000000/'E Balans VL '!Z22*100)</f>
        <v>3.969235070638958E-3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14092.825000000001</v>
      </c>
      <c r="C37" s="39">
        <f>IF(ISERROR(B37*3.6/1000000/'E Balans VL '!Z15*100),0,B37*3.6/1000000/'E Balans VL '!Z15*100)</f>
        <v>0.10449588458125915</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2315.6064999999999</v>
      </c>
      <c r="C5" s="17">
        <f>'Eigen informatie GS &amp; warmtenet'!B60</f>
        <v>0</v>
      </c>
      <c r="D5" s="30">
        <f>IF(ISERROR(SUM(LB_lb_gas_kWh,LB_rest_gas_kWh)/1000),0,SUM(LB_lb_gas_kWh,LB_rest_gas_kWh)/1000)*0.902</f>
        <v>430.55627184768656</v>
      </c>
      <c r="E5" s="17">
        <f>B17*'E Balans VL '!I25/3.6*1000000/100</f>
        <v>21.448117268154068</v>
      </c>
      <c r="F5" s="17">
        <f>B17*('E Balans VL '!L25/3.6*1000000+'E Balans VL '!N25/3.6*1000000)/100</f>
        <v>5875.1348130855613</v>
      </c>
      <c r="G5" s="18"/>
      <c r="H5" s="17"/>
      <c r="I5" s="17"/>
      <c r="J5" s="17">
        <f>('E Balans VL '!D25+'E Balans VL '!E25)/3.6*1000000*landbouw!B17/100</f>
        <v>355.00831869396308</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2315.6064999999999</v>
      </c>
      <c r="C8" s="21">
        <f>C5+C6</f>
        <v>0</v>
      </c>
      <c r="D8" s="21">
        <f>MAX((D5+D6),0)</f>
        <v>430.55627184768656</v>
      </c>
      <c r="E8" s="21">
        <f>MAX((E5+E6),0)</f>
        <v>21.448117268154068</v>
      </c>
      <c r="F8" s="21">
        <f>MAX((F5+F6),0)</f>
        <v>5875.1348130855613</v>
      </c>
      <c r="G8" s="21"/>
      <c r="H8" s="21"/>
      <c r="I8" s="21"/>
      <c r="J8" s="21">
        <f>MAX((J5+J6),0)</f>
        <v>355.00831869396308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0.19326820978900999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447.53312283079515</v>
      </c>
      <c r="C12" s="23">
        <f ca="1">C8*C10</f>
        <v>0</v>
      </c>
      <c r="D12" s="23">
        <f>D8*D10</f>
        <v>86.97236691323269</v>
      </c>
      <c r="E12" s="23">
        <f>E8*E10</f>
        <v>4.8687226198709732</v>
      </c>
      <c r="F12" s="23">
        <f>F8*F10</f>
        <v>1568.660995093845</v>
      </c>
      <c r="G12" s="23"/>
      <c r="H12" s="23"/>
      <c r="I12" s="23"/>
      <c r="J12" s="23">
        <f>J8*J10</f>
        <v>125.67294481766292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0.32923014495542396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338.10438322816441</v>
      </c>
      <c r="C26" s="247">
        <f>B26*'GWP N2O_CH4'!B5</f>
        <v>7100.1920477914528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167.33833854900442</v>
      </c>
      <c r="C27" s="247">
        <f>B27*'GWP N2O_CH4'!B5</f>
        <v>3514.1051095290927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5.1877673816212662</v>
      </c>
      <c r="C28" s="247">
        <f>B28*'GWP N2O_CH4'!B4</f>
        <v>1608.2078883025924</v>
      </c>
      <c r="D28" s="50"/>
    </row>
    <row r="29" spans="1:4">
      <c r="A29" s="41" t="s">
        <v>276</v>
      </c>
      <c r="B29" s="247">
        <f>B34*'ha_N2O bodem landbouw'!B4</f>
        <v>28.292970268796999</v>
      </c>
      <c r="C29" s="247">
        <f>B29*'GWP N2O_CH4'!B4</f>
        <v>8770.8207833270699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6.3456147852527555E-3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4.0689019950843098E-5</v>
      </c>
      <c r="C5" s="438" t="s">
        <v>210</v>
      </c>
      <c r="D5" s="423">
        <f>SUM(D6:D11)</f>
        <v>9.709365299699472E-5</v>
      </c>
      <c r="E5" s="423">
        <f>SUM(E6:E11)</f>
        <v>9.0781180884527495E-4</v>
      </c>
      <c r="F5" s="436" t="s">
        <v>210</v>
      </c>
      <c r="G5" s="423">
        <f>SUM(G6:G11)</f>
        <v>0.28642223791956811</v>
      </c>
      <c r="H5" s="423">
        <f>SUM(H6:H11)</f>
        <v>5.8137861130071099E-2</v>
      </c>
      <c r="I5" s="438" t="s">
        <v>210</v>
      </c>
      <c r="J5" s="438" t="s">
        <v>210</v>
      </c>
      <c r="K5" s="438" t="s">
        <v>210</v>
      </c>
      <c r="L5" s="438" t="s">
        <v>210</v>
      </c>
      <c r="M5" s="423">
        <f>SUM(M6:M11)</f>
        <v>1.8379316906518423E-2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1.9699047232230448E-5</v>
      </c>
      <c r="C6" s="424"/>
      <c r="D6" s="866">
        <f>vkm_GW_PW*SUMIFS(TableVerdeelsleutelVkm[CNG],TableVerdeelsleutelVkm[Voertuigtype],"Lichte voertuigen")*SUMIFS(TableECFTransport[EnergieConsumptieFactor (PJ per km)],TableECFTransport[Index],CONCATENATE($A6,"_CNG_CNG"))</f>
        <v>3.4374531835698826E-5</v>
      </c>
      <c r="E6" s="866">
        <f>vkm_GW_PW*SUMIFS(TableVerdeelsleutelVkm[LPG],TableVerdeelsleutelVkm[Voertuigtype],"Lichte voertuigen")*SUMIFS(TableECFTransport[EnergieConsumptieFactor (PJ per km)],TableECFTransport[Index],CONCATENATE($A6,"_LPG_LPG"))</f>
        <v>3.329342383940995E-4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7.8245274799754266E-2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2.1050765206363564E-2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5.1785469322345266E-3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4.682018331172777E-2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9.0799217734688554E-7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2.7145283792872638E-3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2.098997271861265E-5</v>
      </c>
      <c r="C8" s="424"/>
      <c r="D8" s="426">
        <f>vkm_NGW_PW*SUMIFS(TableVerdeelsleutelVkm[CNG],TableVerdeelsleutelVkm[Voertuigtype],"Lichte voertuigen")*SUMIFS(TableECFTransport[EnergieConsumptieFactor (PJ per km)],TableECFTransport[Index],CONCATENATE($A8,"_CNG_CNG"))</f>
        <v>6.2719121161295901E-5</v>
      </c>
      <c r="E8" s="426">
        <f>vkm_NGW_PW*SUMIFS(TableVerdeelsleutelVkm[LPG],TableVerdeelsleutelVkm[Voertuigtype],"Lichte voertuigen")*SUMIFS(TableECFTransport[EnergieConsumptieFactor (PJ per km)],TableECFTransport[Index],CONCATENATE($A8,"_LPG_LPG"))</f>
        <v>5.7487757045117545E-4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0.12681902901165565</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3.7085358273070419E-2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8.4838160090899735E-3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3.4537750796430372E-2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8.2965845976365891E-7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2.0024255859066599E-3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11.30250554190086</v>
      </c>
      <c r="C14" s="21"/>
      <c r="D14" s="21">
        <f t="shared" ref="D14:M14" si="0">((D5)*10^9/3600)+D12</f>
        <v>26.970459165831866</v>
      </c>
      <c r="E14" s="21">
        <f t="shared" si="0"/>
        <v>252.16994690146527</v>
      </c>
      <c r="F14" s="21"/>
      <c r="G14" s="21">
        <f t="shared" si="0"/>
        <v>79561.732755435587</v>
      </c>
      <c r="H14" s="21">
        <f t="shared" si="0"/>
        <v>16149.405869464194</v>
      </c>
      <c r="I14" s="21"/>
      <c r="J14" s="21"/>
      <c r="K14" s="21"/>
      <c r="L14" s="21"/>
      <c r="M14" s="21">
        <f t="shared" si="0"/>
        <v>5105.3658073662282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0.19326820978900999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2.1844150122135435</v>
      </c>
      <c r="C18" s="23"/>
      <c r="D18" s="23">
        <f t="shared" ref="D18:M18" si="1">D14*D16</f>
        <v>5.4480327514980376</v>
      </c>
      <c r="E18" s="23">
        <f t="shared" si="1"/>
        <v>57.242577946632615</v>
      </c>
      <c r="F18" s="23"/>
      <c r="G18" s="23">
        <f t="shared" si="1"/>
        <v>21242.982645701304</v>
      </c>
      <c r="H18" s="23">
        <f t="shared" si="1"/>
        <v>4021.2020614965841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3.9789675030090649E-3</v>
      </c>
      <c r="H50" s="319">
        <f t="shared" si="2"/>
        <v>0</v>
      </c>
      <c r="I50" s="319">
        <f t="shared" si="2"/>
        <v>0</v>
      </c>
      <c r="J50" s="319">
        <f t="shared" si="2"/>
        <v>0</v>
      </c>
      <c r="K50" s="319">
        <f t="shared" si="2"/>
        <v>0</v>
      </c>
      <c r="L50" s="319">
        <f t="shared" si="2"/>
        <v>0</v>
      </c>
      <c r="M50" s="319">
        <f t="shared" si="2"/>
        <v>2.2742567165721781E-4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3.9789675030090649E-3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2.2742567165721781E-4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1105.2687508358515</v>
      </c>
      <c r="H54" s="21">
        <f t="shared" si="3"/>
        <v>0</v>
      </c>
      <c r="I54" s="21">
        <f t="shared" si="3"/>
        <v>0</v>
      </c>
      <c r="J54" s="21">
        <f t="shared" si="3"/>
        <v>0</v>
      </c>
      <c r="K54" s="21">
        <f t="shared" si="3"/>
        <v>0</v>
      </c>
      <c r="L54" s="21">
        <f t="shared" si="3"/>
        <v>0</v>
      </c>
      <c r="M54" s="21">
        <f t="shared" si="3"/>
        <v>63.173797682560505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0.19326820978900999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295.10675647317237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3591.4782873349286</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7976.0505130860902</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11567.52880042102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2020-06-20T16:07:47Z</dcterms:modified>
</cp:coreProperties>
</file>