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L6" i="17" l="1"/>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P4" i="48"/>
  <c r="P22" i="48" s="1"/>
  <c r="Q11" i="14"/>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P33" i="48"/>
  <c r="F24" i="14"/>
  <c r="F26" i="14" s="1"/>
  <c r="E7" i="48"/>
  <c r="E25" i="48" s="1"/>
  <c r="Q46" i="14"/>
  <c r="Q61" i="14" s="1"/>
  <c r="Q63" i="14" s="1"/>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N63" i="14"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<sst xmlns="http://schemas.openxmlformats.org/spreadsheetml/2006/main" count="2443" uniqueCount="920">
  <si>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</si>
  <si>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</si>
  <si>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</si>
  <si>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</si>
  <si>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</si>
  <si>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</si>
  <si>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</si>
  <si>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</si>
  <si>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</si>
  <si>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</si>
  <si>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</si>
  <si>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</si>
  <si>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</si>
  <si>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</si>
  <si>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</si>
  <si>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</si>
  <si>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</si>
  <si>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</si>
  <si>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</si>
  <si>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</si>
  <si>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</si>
  <si>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</si>
  <si>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</si>
  <si>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</si>
  <si>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</si>
  <si>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</si>
  <si>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</si>
  <si>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</si>
  <si>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</si>
  <si>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</si>
  <si>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</si>
  <si>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</si>
  <si>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</si>
  <si>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</si>
  <si>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</si>
  <si>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</si>
  <si>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</si>
  <si>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</si>
  <si>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</si>
  <si>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</si>
  <si>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</si>
  <si>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</si>
  <si>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</si>
  <si>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</si>
  <si>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</si>
  <si>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</si>
  <si>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</si>
  <si>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</si>
  <si>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</si>
  <si>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</si>
  <si>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</si>
  <si>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</si>
  <si>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</si>
  <si>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</si>
  <si>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</si>
  <si>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</si>
  <si>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</si>
  <si>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</si>
  <si>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</si>
  <si>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</si>
  <si>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</si>
  <si>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</si>
  <si>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</si>
  <si>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</si>
  <si>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</si>
  <si>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</si>
  <si>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</si>
  <si>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</si>
  <si>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</si>
  <si>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</si>
  <si>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</si>
  <si>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</si>
  <si>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</si>
  <si>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</si>
  <si>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</si>
  <si>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</si>
  <si>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</si>
  <si>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</si>
  <si>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</si>
  <si>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</si>
  <si>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</si>
  <si>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</si>
  <si>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</si>
  <si>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</si>
  <si>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</si>
  <si>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</si>
  <si>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</si>
  <si>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</si>
  <si>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</si>
  <si>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</si>
  <si>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</si>
  <si>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</si>
  <si>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</si>
  <si>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</si>
  <si>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</si>
  <si>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</si>
  <si>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</si>
  <si>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</si>
  <si>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</si>
  <si>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</si>
  <si>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</si>
  <si>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</si>
  <si>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</si>
  <si>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</si>
  <si>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</si>
  <si>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</si>
  <si>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</si>
  <si>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</si>
  <si>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</si>
  <si>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</si>
  <si>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</si>
  <si>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</si>
  <si>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</si>
  <si>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</si>
  <si>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</si>
  <si>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</si>
  <si>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</si>
  <si>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</si>
  <si>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</si>
  <si>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</si>
  <si>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</si>
  <si>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</si>
  <si>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</si>
  <si>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</si>
  <si>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</si>
  <si>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</si>
  <si>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</si>
  <si>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</si>
  <si>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</si>
  <si>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</si>
  <si>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</si>
  <si>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</si>
  <si>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</si>
  <si>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</si>
  <si>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</si>
  <si>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</si>
  <si>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</si>
  <si>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</si>
  <si>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</si>
  <si>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</si>
  <si>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</si>
  <si>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</si>
  <si>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</si>
  <si>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</si>
  <si>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</si>
  <si>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</si>
  <si>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</si>
  <si>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</si>
  <si>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</si>
  <si>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</si>
  <si>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</si>
  <si>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</si>
  <si>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</si>
  <si>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</si>
  <si>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</si>
  <si>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</si>
  <si>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</si>
  <si>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</si>
  <si>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</si>
  <si>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</si>
  <si>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</si>
  <si>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</si>
  <si>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</si>
  <si>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</si>
  <si>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</si>
  <si>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</si>
  <si>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</si>
  <si>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</si>
  <si>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</si>
  <si>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</si>
  <si>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</si>
  <si>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</si>
  <si>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</si>
  <si>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</si>
  <si>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</si>
  <si>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</si>
  <si>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</si>
  <si>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</si>
  <si>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</si>
  <si>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</si>
  <si>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</si>
  <si>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</si>
  <si>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</si>
  <si>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</si>
  <si>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</si>
  <si>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</si>
  <si>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</si>
  <si>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</si>
  <si>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</si>
  <si>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</si>
  <si>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</si>
  <si>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</si>
  <si>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</si>
  <si>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</si>
  <si>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</si>
  <si>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</si>
  <si>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</si>
  <si>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</si>
  <si>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</si>
  <si>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</si>
  <si>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</si>
  <si>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</si>
  <si>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</si>
  <si>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</si>
  <si>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</si>
  <si>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</si>
  <si>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</si>
  <si>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</si>
  <si>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</si>
  <si>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</si>
  <si>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</si>
  <si>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</si>
  <si>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</si>
  <si>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</si>
  <si>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</si>
  <si>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</si>
  <si>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</si>
  <si>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</si>
  <si>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</si>
  <si>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</si>
  <si>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</si>
  <si>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</si>
  <si>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</si>
  <si>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</si>
  <si>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</si>
  <si>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</si>
  <si>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</si>
  <si>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</si>
  <si>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</si>
  <si>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</si>
  <si>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</si>
  <si>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</si>
  <si>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</si>
  <si>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</si>
  <si>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</si>
  <si>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</si>
  <si>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</si>
  <si>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</si>
  <si>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</si>
  <si>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</si>
  <si>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</si>
  <si>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</si>
  <si>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</si>
  <si>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</si>
  <si>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</si>
  <si>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</si>
  <si>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</si>
  <si>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</si>
  <si>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</si>
  <si>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</si>
  <si>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</si>
  <si>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</si>
  <si>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</si>
  <si>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</si>
  <si>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</si>
  <si>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</si>
  <si>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</si>
  <si>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</si>
  <si>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</si>
  <si>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</si>
  <si>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</si>
  <si>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</si>
  <si>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</si>
  <si>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</si>
  <si>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</si>
  <si>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</si>
  <si>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</si>
  <si>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</si>
  <si>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</si>
  <si>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</si>
  <si>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</si>
  <si>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</si>
  <si>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</si>
  <si>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</si>
  <si>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</si>
  <si>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</si>
  <si>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</si>
  <si>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</si>
  <si>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</si>
  <si>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</si>
  <si>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</si>
  <si>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</si>
  <si>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</si>
  <si>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</si>
  <si>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</si>
  <si>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</si>
  <si>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</si>
  <si>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</si>
  <si>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</si>
  <si>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</si>
  <si>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</si>
  <si>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</si>
  <si>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</si>
  <si>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</si>
  <si>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</si>
  <si>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</si>
  <si>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</si>
  <si>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</si>
  <si>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</si>
  <si>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</si>
  <si>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</si>
  <si>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</si>
  <si>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</si>
  <si>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</si>
  <si>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</si>
  <si>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</si>
  <si>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</si>
  <si>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</si>
  <si>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</si>
  <si>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</si>
  <si>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</si>
  <si>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</si>
  <si>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</si>
  <si>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</si>
  <si>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</si>
  <si>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</si>
  <si>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</si>
  <si>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</si>
  <si>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</si>
  <si>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</si>
  <si>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</si>
  <si>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</si>
  <si>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</si>
  <si>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</si>
  <si>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</si>
  <si>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</si>
  <si>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</si>
  <si>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</si>
  <si>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</si>
  <si>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</si>
  <si>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</si>
  <si>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</si>
  <si>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</si>
  <si>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</si>
  <si>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</si>
  <si>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</si>
  <si>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</si>
  <si>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</si>
  <si>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</si>
  <si>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</si>
  <si>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</si>
  <si>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</si>
  <si>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</si>
  <si>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</si>
  <si>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</si>
  <si>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</si>
  <si>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</si>
  <si>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</si>
  <si>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</si>
  <si>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</si>
  <si>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</si>
  <si>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</si>
  <si>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</si>
  <si>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</si>
  <si>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</si>
  <si>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</si>
  <si>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</si>
  <si>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</si>
  <si>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</si>
  <si>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</si>
  <si>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</si>
  <si>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</si>
  <si>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</si>
  <si>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</si>
  <si>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</si>
  <si>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</si>
  <si>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</si>
  <si>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</si>
  <si>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</si>
  <si>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</si>
  <si>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</si>
  <si>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</si>
  <si>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</si>
  <si>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</si>
  <si>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</si>
  <si>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</si>
  <si>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</si>
  <si>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</si>
  <si>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</si>
  <si>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</si>
  <si>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</si>
  <si>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</si>
  <si>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</si>
  <si>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</si>
  <si>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</si>
  <si>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</si>
  <si>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</si>
  <si>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</si>
  <si>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</si>
  <si>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</si>
  <si>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</si>
  <si>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</si>
  <si>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</si>
  <si>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</si>
  <si>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</si>
  <si>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</si>
  <si>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</si>
  <si>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</si>
  <si>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</si>
  <si>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</si>
  <si>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</si>
  <si>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</si>
  <si>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</si>
  <si>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</si>
  <si>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</si>
  <si>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</si>
  <si>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</si>
  <si>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</si>
  <si>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</si>
  <si>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</si>
  <si>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</si>
  <si>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</si>
  <si>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</si>
  <si>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</si>
  <si>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</si>
  <si>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</si>
  <si>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</si>
  <si>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</si>
  <si>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</si>
  <si>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</si>
  <si>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</si>
  <si>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</si>
  <si>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</si>
  <si>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</si>
  <si>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</si>
  <si>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</si>
  <si>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</si>
  <si>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</si>
  <si>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</si>
  <si>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</si>
  <si>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</si>
  <si>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</si>
  <si>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</si>
  <si>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</si>
  <si>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</si>
  <si>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</si>
  <si>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</si>
  <si>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</si>
  <si>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</si>
  <si>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</si>
  <si>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</si>
  <si>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</si>
  <si>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</si>
  <si>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</si>
  <si>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</si>
  <si>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</si>
  <si>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</si>
  <si>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</si>
  <si>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</si>
  <si>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</si>
  <si>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</si>
  <si>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</si>
  <si>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</si>
  <si>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</si>
  <si>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</si>
  <si>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</si>
  <si>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</si>
  <si>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</si>
  <si>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</si>
  <si>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</si>
  <si>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</si>
  <si>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</si>
  <si>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</si>
  <si>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</si>
  <si>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</si>
  <si>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</si>
  <si>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</si>
  <si>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</si>
  <si>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</si>
  <si>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</si>
  <si>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</si>
  <si>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</si>
  <si>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</si>
  <si>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</si>
  <si>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</si>
  <si>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</si>
  <si>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</si>
  <si>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</si>
  <si>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</si>
  <si>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</si>
  <si>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</si>
  <si>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</si>
  <si>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</si>
  <si>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</si>
  <si>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</si>
  <si>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</si>
  <si>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</si>
  <si>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</si>
  <si>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</si>
  <si>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</si>
  <si>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</si>
  <si>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</si>
  <si>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</si>
  <si>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</si>
  <si>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</si>
  <si>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</si>
  <si>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</si>
  <si>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</si>
  <si>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</si>
  <si>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</si>
  <si>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</si>
  <si>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</si>
  <si>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</si>
  <si>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</si>
  <si>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</si>
  <si>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</si>
  <si>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</si>
  <si>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</si>
  <si>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</si>
  <si>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</si>
  <si>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</si>
  <si>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</si>
  <si>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</si>
  <si>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</si>
  <si>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</si>
  <si>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</si>
  <si>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</si>
  <si>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</si>
  <si>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</si>
  <si>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</si>
  <si>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</si>
  <si>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</si>
  <si>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</si>
  <si>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</si>
  <si>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</si>
  <si>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</si>
  <si>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</si>
  <si>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</si>
  <si>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</si>
  <si>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</si>
  <si>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</si>
  <si>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</si>
  <si>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</si>
  <si>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</si>
  <si>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</si>
  <si>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</si>
  <si>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</si>
  <si>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</si>
  <si>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</si>
  <si>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</si>
  <si>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</si>
  <si>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</si>
  <si>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</si>
  <si>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</si>
  <si>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</si>
  <si>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</si>
  <si>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</si>
  <si>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</si>
  <si>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</si>
  <si>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</si>
  <si>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</si>
  <si>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</si>
  <si>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</si>
  <si>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</si>
  <si>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</si>
  <si>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</si>
  <si>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</si>
  <si>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</si>
  <si>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</si>
  <si>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</si>
  <si>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</si>
  <si>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</si>
  <si>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</si>
  <si>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</si>
  <si>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</si>
  <si>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</si>
  <si>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</si>
  <si>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</si>
  <si>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</si>
  <si>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</si>
  <si>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</si>
  <si>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</si>
  <si>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</si>
  <si>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</si>
  <si>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</si>
  <si>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</si>
  <si>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</si>
  <si>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</si>
  <si>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</si>
  <si>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</si>
  <si>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</si>
  <si>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</si>
  <si>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</si>
  <si>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</si>
  <si>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</si>
  <si>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</si>
  <si>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</si>
  <si>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</si>
  <si>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</si>
  <si>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</si>
  <si>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</si>
  <si>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</si>
  <si>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</si>
  <si>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</si>
  <si>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</si>
  <si>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</si>
  <si>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</si>
  <si>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</si>
  <si>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</si>
  <si>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</si>
  <si>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</si>
  <si>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</si>
  <si>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</si>
  <si>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</si>
  <si>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</si>
  <si>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</si>
  <si>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</si>
  <si>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</si>
  <si>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</si>
  <si>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</si>
  <si>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</si>
  <si>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</si>
  <si>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</si>
  <si>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</si>
  <si>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</si>
  <si>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</si>
  <si>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</si>
  <si>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</si>
  <si>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</si>
  <si>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</si>
  <si>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</si>
  <si>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</si>
  <si>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</si>
  <si>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</si>
  <si>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</si>
  <si>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</si>
  <si>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</si>
  <si>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</si>
  <si>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</si>
  <si>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</si>
  <si>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</si>
  <si>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</si>
  <si>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</si>
  <si>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</si>
  <si>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</si>
  <si>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</si>
  <si>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</si>
  <si>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</si>
  <si>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</si>
  <si>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</si>
  <si>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</si>
  <si>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</si>
  <si>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</si>
  <si>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</si>
  <si>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</si>
  <si>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</si>
  <si>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</si>
  <si>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</si>
  <si>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</si>
  <si>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</si>
  <si>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</si>
  <si>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</si>
  <si>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</si>
  <si>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</si>
  <si>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</si>
  <si>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</si>
  <si>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</si>
  <si>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</si>
  <si>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</si>
  <si>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</si>
  <si>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</si>
  <si>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</si>
  <si>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</si>
  <si>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</si>
  <si>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</si>
  <si>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</si>
  <si>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</si>
  <si>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</si>
  <si>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</si>
  <si>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</si>
  <si>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</si>
  <si>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</si>
  <si>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</si>
  <si>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</si>
  <si>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</si>
  <si>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</si>
  <si>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</si>
  <si>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</si>
  <si>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</si>
  <si>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</si>
  <si>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</si>
  <si>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</si>
  <si>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</si>
  <si>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</si>
  <si>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</si>
  <si>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</si>
  <si>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</si>
  <si>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</si>
  <si>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</si>
  <si>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</si>
  <si>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</si>
  <si>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</si>
  <si>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</si>
  <si>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</si>
  <si>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</si>
  <si>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</si>
  <si>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</si>
  <si>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</si>
  <si>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</si>
  <si>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</si>
  <si>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</si>
  <si>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</si>
  <si>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</si>
  <si>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</si>
  <si>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</si>
  <si>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</si>
  <si>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</si>
  <si>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</si>
  <si>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</si>
  <si>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</si>
  <si>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</si>
  <si>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</si>
  <si>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</si>
  <si>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</si>
  <si>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</si>
  <si>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</si>
  <si>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</si>
  <si>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</si>
  <si>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</si>
  <si>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</si>
  <si>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</si>
  <si>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</si>
  <si>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</si>
  <si>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</si>
  <si>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</si>
  <si>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</si>
  <si>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</si>
  <si>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</si>
  <si>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</si>
  <si>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</si>
  <si>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</si>
  <si>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</si>
  <si>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</si>
  <si>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</si>
  <si>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</si>
  <si>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</si>
  <si>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</si>
  <si>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</si>
  <si>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</si>
  <si>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</si>
  <si>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</si>
  <si>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</si>
  <si>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</si>
  <si>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</si>
  <si>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</si>
  <si>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</si>
  <si>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</si>
  <si>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</si>
  <si>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</si>
  <si>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</si>
  <si>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</si>
  <si>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</si>
  <si>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</si>
  <si>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</si>
  <si>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</si>
  <si>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</si>
  <si>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</si>
  <si>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</si>
  <si>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</si>
  <si>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</si>
  <si>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</si>
  <si>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</si>
  <si>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</si>
  <si>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</si>
  <si>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</si>
  <si>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</si>
  <si>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</si>
  <si>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</si>
  <si>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</si>
  <si>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</si>
  <si>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</si>
  <si>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</si>
  <si>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</si>
  <si>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</si>
  <si>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</si>
  <si>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</si>
  <si>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</si>
  <si>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</si>
  <si>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</si>
  <si>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</si>
  <si>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</si>
  <si>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</si>
  <si>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</si>
  <si>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</si>
  <si>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</si>
  <si>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</si>
  <si>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</si>
  <si>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</si>
  <si>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</si>
  <si>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</si>
  <si>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</si>
  <si>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</si>
  <si>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</si>
  <si>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</si>
  <si>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</si>
  <si>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</si>
  <si>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</si>
  <si>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</si>
  <si>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</si>
  <si>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</si>
  <si>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</si>
  <si>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</si>
  <si>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</si>
  <si>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</si>
  <si>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</si>
  <si>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</si>
  <si>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</si>
  <si>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</si>
  <si>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</si>
  <si>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</si>
  <si>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</si>
  <si>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</si>
  <si>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</si>
  <si>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</si>
  <si>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</si>
  <si>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</si>
  <si>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</si>
  <si>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</si>
  <si>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</si>
  <si>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</si>
  <si>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</si>
  <si>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</si>
  <si>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</si>
  <si>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</si>
  <si>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</si>
  <si>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</si>
  <si>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</si>
  <si>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</si>
  <si>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</si>
  <si>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</si>
  <si>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</si>
  <si>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</si>
  <si>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</si>
  <si>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</si>
  <si>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</si>
  <si>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</si>
  <si>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</si>
  <si>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</si>
  <si>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</si>
  <si>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</si>
  <si>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</si>
  <si>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</si>
  <si>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</si>
  <si>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</si>
  <si>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</si>
  <si>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</si>
  <si>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</si>
  <si>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</si>
  <si>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</si>
  <si>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</si>
  <si>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</si>
  <si>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</si>
  <si>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</si>
  <si>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</si>
  <si>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</si>
  <si>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</si>
  <si>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</si>
  <si>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</si>
  <si>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</si>
  <si>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</si>
  <si>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</si>
  <si>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</si>
  <si>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</si>
  <si>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</si>
  <si>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</si>
  <si>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</si>
  <si>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</si>
  <si>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</si>
  <si>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</si>
  <si>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</si>
  <si>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</si>
  <si>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</si>
  <si>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</si>
  <si>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</si>
  <si>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</si>
  <si>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</si>
  <si>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</si>
  <si>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</si>
  <si>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</si>
  <si>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</si>
  <si>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</si>
  <si>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</si>
  <si>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</si>
  <si>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</si>
  <si>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</si>
  <si>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</si>
  <si>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</si>
  <si>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</si>
  <si>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</si>
  <si>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</si>
  <si>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</si>
  <si>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</si>
  <si>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</si>
  <si>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</si>
  <si>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</si>
  <si>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</si>
  <si>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</si>
  <si>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</si>
  <si>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</si>
  <si>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</si>
  <si>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</si>
  <si>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</si>
  <si>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</si>
  <si>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</si>
  <si>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</si>
  <si>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</si>
  <si>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</si>
  <si>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34027</t>
  </si>
  <si>
    <t>MENEN</t>
  </si>
  <si>
    <t>Paarden&amp;pony's 200 - 600 kg</t>
  </si>
  <si>
    <t>Paarden&amp;pony's &lt; 200 kg</t>
  </si>
  <si>
    <t>Fluvius</t>
  </si>
  <si>
    <t>referentietaak LNE (2017); Jaarverslag De Lijn</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</si>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</sst>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225138.14935068131</c:v>
                </c:pt>
                <c:pt idx="1">
                  <c:v>138715.71988831609</c:v>
                </c:pt>
                <c:pt idx="2">
                  <c:v>2688.8539999999998</c:v>
                </c:pt>
                <c:pt idx="3">
                  <c:v>4334.4550692272642</c:v>
                </c:pt>
                <c:pt idx="4">
                  <c:v>124951.02340257484</c:v>
                </c:pt>
                <c:pt idx="5">
                  <c:v>195153.74011125727</c:v>
                </c:pt>
                <c:pt idx="6">
                  <c:v>2272.1965169142204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225138.14935068131</c:v>
                </c:pt>
                <c:pt idx="1">
                  <c:v>138715.71988831609</c:v>
                </c:pt>
                <c:pt idx="2">
                  <c:v>2688.8539999999998</c:v>
                </c:pt>
                <c:pt idx="3">
                  <c:v>4334.4550692272642</c:v>
                </c:pt>
                <c:pt idx="4">
                  <c:v>124951.02340257484</c:v>
                </c:pt>
                <c:pt idx="5">
                  <c:v>195153.74011125727</c:v>
                </c:pt>
                <c:pt idx="6">
                  <c:v>2272.1965169142204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42050.339952412767</c:v>
                </c:pt>
                <c:pt idx="2">
                  <c:v>22653.889413829558</c:v>
                </c:pt>
                <c:pt idx="3">
                  <c:v>468.67706487013641</c:v>
                </c:pt>
                <c:pt idx="4">
                  <c:v>1050.4239262758158</c:v>
                </c:pt>
                <c:pt idx="5">
                  <c:v>24847.857620452502</c:v>
                </c:pt>
                <c:pt idx="6">
                  <c:v>48947.843575330109</c:v>
                </c:pt>
                <c:pt idx="7">
                  <c:v>573.8754935160847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42050.339952412767</c:v>
                </c:pt>
                <c:pt idx="2">
                  <c:v>22653.889413829558</c:v>
                </c:pt>
                <c:pt idx="3">
                  <c:v>468.67706487013641</c:v>
                </c:pt>
                <c:pt idx="4">
                  <c:v>1050.4239262758158</c:v>
                </c:pt>
                <c:pt idx="5">
                  <c:v>24847.857620452502</c:v>
                </c:pt>
                <c:pt idx="6">
                  <c:v>48947.843575330109</c:v>
                </c:pt>
                <c:pt idx="7">
                  <c:v>573.8754935160847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34027</v>
      </c>
      <c r="B6" s="391"/>
      <c r="C6" s="392"/>
    </row>
    <row r="7" spans="1:7" s="389" customFormat="1" ht="15.75" customHeight="1">
      <c r="A7" s="393" t="str">
        <f>txtMunicipality</f>
        <v>MENEN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0.17430364938748494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0.17430364938748494</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14173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1465</v>
      </c>
      <c r="C14" s="330"/>
      <c r="D14" s="330"/>
      <c r="E14" s="330"/>
      <c r="F14" s="330"/>
    </row>
    <row r="15" spans="1:6">
      <c r="A15" s="1305" t="s">
        <v>183</v>
      </c>
      <c r="B15" s="1306">
        <v>24</v>
      </c>
      <c r="C15" s="330"/>
      <c r="D15" s="330"/>
      <c r="E15" s="330"/>
      <c r="F15" s="330"/>
    </row>
    <row r="16" spans="1:6">
      <c r="A16" s="1305" t="s">
        <v>6</v>
      </c>
      <c r="B16" s="1306">
        <v>449</v>
      </c>
      <c r="C16" s="330"/>
      <c r="D16" s="330"/>
      <c r="E16" s="330"/>
      <c r="F16" s="330"/>
    </row>
    <row r="17" spans="1:6">
      <c r="A17" s="1305" t="s">
        <v>7</v>
      </c>
      <c r="B17" s="1306">
        <v>348</v>
      </c>
      <c r="C17" s="330"/>
      <c r="D17" s="330"/>
      <c r="E17" s="330"/>
      <c r="F17" s="330"/>
    </row>
    <row r="18" spans="1:6">
      <c r="A18" s="1305" t="s">
        <v>8</v>
      </c>
      <c r="B18" s="1306">
        <v>418</v>
      </c>
      <c r="C18" s="330"/>
      <c r="D18" s="330"/>
      <c r="E18" s="330"/>
      <c r="F18" s="330"/>
    </row>
    <row r="19" spans="1:6">
      <c r="A19" s="1305" t="s">
        <v>9</v>
      </c>
      <c r="B19" s="1306">
        <v>395</v>
      </c>
      <c r="C19" s="330"/>
      <c r="D19" s="330"/>
      <c r="E19" s="330"/>
      <c r="F19" s="330"/>
    </row>
    <row r="20" spans="1:6">
      <c r="A20" s="1305" t="s">
        <v>10</v>
      </c>
      <c r="B20" s="1306">
        <v>430</v>
      </c>
      <c r="C20" s="330"/>
      <c r="D20" s="330"/>
      <c r="E20" s="330"/>
      <c r="F20" s="330"/>
    </row>
    <row r="21" spans="1:6">
      <c r="A21" s="1305" t="s">
        <v>11</v>
      </c>
      <c r="B21" s="1306">
        <v>2633</v>
      </c>
      <c r="C21" s="330"/>
      <c r="D21" s="330"/>
      <c r="E21" s="330"/>
      <c r="F21" s="330"/>
    </row>
    <row r="22" spans="1:6">
      <c r="A22" s="1305" t="s">
        <v>12</v>
      </c>
      <c r="B22" s="1306">
        <v>8307</v>
      </c>
      <c r="C22" s="330"/>
      <c r="D22" s="330"/>
      <c r="E22" s="330"/>
      <c r="F22" s="330"/>
    </row>
    <row r="23" spans="1:6">
      <c r="A23" s="1305" t="s">
        <v>13</v>
      </c>
      <c r="B23" s="1306">
        <v>129</v>
      </c>
      <c r="C23" s="330"/>
      <c r="D23" s="330"/>
      <c r="E23" s="330"/>
      <c r="F23" s="330"/>
    </row>
    <row r="24" spans="1:6">
      <c r="A24" s="1305" t="s">
        <v>14</v>
      </c>
      <c r="B24" s="1306">
        <v>5</v>
      </c>
      <c r="C24" s="330"/>
      <c r="D24" s="330"/>
      <c r="E24" s="330"/>
      <c r="F24" s="330"/>
    </row>
    <row r="25" spans="1:6">
      <c r="A25" s="1305" t="s">
        <v>15</v>
      </c>
      <c r="B25" s="1306">
        <v>686</v>
      </c>
      <c r="C25" s="330"/>
      <c r="D25" s="330"/>
      <c r="E25" s="330"/>
      <c r="F25" s="330"/>
    </row>
    <row r="26" spans="1:6">
      <c r="A26" s="1305" t="s">
        <v>16</v>
      </c>
      <c r="B26" s="1306">
        <v>213</v>
      </c>
      <c r="C26" s="330"/>
      <c r="D26" s="330"/>
      <c r="E26" s="330"/>
      <c r="F26" s="330"/>
    </row>
    <row r="27" spans="1:6">
      <c r="A27" s="1305" t="s">
        <v>17</v>
      </c>
      <c r="B27" s="1306">
        <v>0</v>
      </c>
      <c r="C27" s="330"/>
      <c r="D27" s="330"/>
      <c r="E27" s="330"/>
      <c r="F27" s="330"/>
    </row>
    <row r="28" spans="1:6" s="43" customFormat="1">
      <c r="A28" s="1307" t="s">
        <v>18</v>
      </c>
      <c r="B28" s="1308">
        <v>114591</v>
      </c>
      <c r="C28" s="336"/>
      <c r="D28" s="336"/>
      <c r="E28" s="336"/>
      <c r="F28" s="336"/>
    </row>
    <row r="29" spans="1:6">
      <c r="A29" s="1307" t="s">
        <v>909</v>
      </c>
      <c r="B29" s="1308">
        <v>109</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8</v>
      </c>
      <c r="D36" s="1306">
        <v>43059.967572046102</v>
      </c>
      <c r="E36" s="1306">
        <v>9</v>
      </c>
      <c r="F36" s="1306">
        <v>24078.63</v>
      </c>
    </row>
    <row r="37" spans="1:6">
      <c r="A37" s="1305" t="s">
        <v>24</v>
      </c>
      <c r="B37" s="1305" t="s">
        <v>27</v>
      </c>
      <c r="C37" s="1306">
        <v>0</v>
      </c>
      <c r="D37" s="1306">
        <v>0</v>
      </c>
      <c r="E37" s="1306">
        <v>0</v>
      </c>
      <c r="F37" s="1306">
        <v>0</v>
      </c>
    </row>
    <row r="38" spans="1:6">
      <c r="A38" s="1305" t="s">
        <v>24</v>
      </c>
      <c r="B38" s="1305" t="s">
        <v>28</v>
      </c>
      <c r="C38" s="1306">
        <v>1</v>
      </c>
      <c r="D38" s="1306">
        <v>197.62874959920001</v>
      </c>
      <c r="E38" s="1306">
        <v>1</v>
      </c>
      <c r="F38" s="1306">
        <v>4813.5110000000004</v>
      </c>
    </row>
    <row r="39" spans="1:6">
      <c r="A39" s="1305" t="s">
        <v>29</v>
      </c>
      <c r="B39" s="1305" t="s">
        <v>30</v>
      </c>
      <c r="C39" s="1306">
        <v>12189</v>
      </c>
      <c r="D39" s="1306">
        <v>154106532.80666101</v>
      </c>
      <c r="E39" s="1306">
        <v>14159</v>
      </c>
      <c r="F39" s="1306">
        <v>45851589</v>
      </c>
    </row>
    <row r="40" spans="1:6">
      <c r="A40" s="1305" t="s">
        <v>29</v>
      </c>
      <c r="B40" s="1305" t="s">
        <v>28</v>
      </c>
      <c r="C40" s="1306">
        <v>0</v>
      </c>
      <c r="D40" s="1306">
        <v>0</v>
      </c>
      <c r="E40" s="1306">
        <v>0</v>
      </c>
      <c r="F40" s="1306">
        <v>0</v>
      </c>
    </row>
    <row r="41" spans="1:6">
      <c r="A41" s="1305" t="s">
        <v>31</v>
      </c>
      <c r="B41" s="1305" t="s">
        <v>32</v>
      </c>
      <c r="C41" s="1306">
        <v>140</v>
      </c>
      <c r="D41" s="1306">
        <v>3321091.7163429698</v>
      </c>
      <c r="E41" s="1306">
        <v>262</v>
      </c>
      <c r="F41" s="1306">
        <v>11859069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9</v>
      </c>
      <c r="D44" s="1306">
        <v>322311.54565041099</v>
      </c>
      <c r="E44" s="1306">
        <v>32</v>
      </c>
      <c r="F44" s="1306">
        <v>491149.9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3</v>
      </c>
      <c r="D47" s="1306">
        <v>64070.104822216701</v>
      </c>
      <c r="E47" s="1306">
        <v>3</v>
      </c>
      <c r="F47" s="1306">
        <v>21743.27</v>
      </c>
    </row>
    <row r="48" spans="1:6">
      <c r="A48" s="1305" t="s">
        <v>31</v>
      </c>
      <c r="B48" s="1305" t="s">
        <v>28</v>
      </c>
      <c r="C48" s="1306">
        <v>47</v>
      </c>
      <c r="D48" s="1306">
        <v>49155600.760018498</v>
      </c>
      <c r="E48" s="1306">
        <v>63</v>
      </c>
      <c r="F48" s="1306">
        <v>21902883</v>
      </c>
    </row>
    <row r="49" spans="1:6">
      <c r="A49" s="1305" t="s">
        <v>31</v>
      </c>
      <c r="B49" s="1305" t="s">
        <v>39</v>
      </c>
      <c r="C49" s="1306">
        <v>4</v>
      </c>
      <c r="D49" s="1306">
        <v>355449.87306438602</v>
      </c>
      <c r="E49" s="1306">
        <v>13</v>
      </c>
      <c r="F49" s="1306">
        <v>1387482</v>
      </c>
    </row>
    <row r="50" spans="1:6">
      <c r="A50" s="1305" t="s">
        <v>31</v>
      </c>
      <c r="B50" s="1305" t="s">
        <v>40</v>
      </c>
      <c r="C50" s="1306">
        <v>57</v>
      </c>
      <c r="D50" s="1306">
        <v>4416382.5971294697</v>
      </c>
      <c r="E50" s="1306">
        <v>120</v>
      </c>
      <c r="F50" s="1306">
        <v>4662797</v>
      </c>
    </row>
    <row r="51" spans="1:6">
      <c r="A51" s="1305" t="s">
        <v>41</v>
      </c>
      <c r="B51" s="1305" t="s">
        <v>42</v>
      </c>
      <c r="C51" s="1306">
        <v>8</v>
      </c>
      <c r="D51" s="1306">
        <v>153179.692002019</v>
      </c>
      <c r="E51" s="1306">
        <v>71</v>
      </c>
      <c r="F51" s="1306">
        <v>904481.3</v>
      </c>
    </row>
    <row r="52" spans="1:6">
      <c r="A52" s="1305" t="s">
        <v>41</v>
      </c>
      <c r="B52" s="1305" t="s">
        <v>28</v>
      </c>
      <c r="C52" s="1306">
        <v>8</v>
      </c>
      <c r="D52" s="1306">
        <v>190496.16749535399</v>
      </c>
      <c r="E52" s="1306">
        <v>7</v>
      </c>
      <c r="F52" s="1306">
        <v>183279.8</v>
      </c>
    </row>
    <row r="53" spans="1:6">
      <c r="A53" s="1305" t="s">
        <v>43</v>
      </c>
      <c r="B53" s="1305" t="s">
        <v>44</v>
      </c>
      <c r="C53" s="1306">
        <v>335</v>
      </c>
      <c r="D53" s="1306">
        <v>4632836.7667483501</v>
      </c>
      <c r="E53" s="1306">
        <v>509</v>
      </c>
      <c r="F53" s="1306">
        <v>1695049</v>
      </c>
    </row>
    <row r="54" spans="1:6">
      <c r="A54" s="1305" t="s">
        <v>45</v>
      </c>
      <c r="B54" s="1305" t="s">
        <v>46</v>
      </c>
      <c r="C54" s="1306">
        <v>0</v>
      </c>
      <c r="D54" s="1306">
        <v>0</v>
      </c>
      <c r="E54" s="1306">
        <v>1</v>
      </c>
      <c r="F54" s="1306">
        <v>2688854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120</v>
      </c>
      <c r="D57" s="1306">
        <v>3705860.3641060102</v>
      </c>
      <c r="E57" s="1306">
        <v>193</v>
      </c>
      <c r="F57" s="1306">
        <v>4989993</v>
      </c>
    </row>
    <row r="58" spans="1:6">
      <c r="A58" s="1305" t="s">
        <v>48</v>
      </c>
      <c r="B58" s="1305" t="s">
        <v>50</v>
      </c>
      <c r="C58" s="1306">
        <v>133</v>
      </c>
      <c r="D58" s="1306">
        <v>12997902.596034801</v>
      </c>
      <c r="E58" s="1306">
        <v>150</v>
      </c>
      <c r="F58" s="1306">
        <v>6678740</v>
      </c>
    </row>
    <row r="59" spans="1:6">
      <c r="A59" s="1305" t="s">
        <v>48</v>
      </c>
      <c r="B59" s="1305" t="s">
        <v>51</v>
      </c>
      <c r="C59" s="1306">
        <v>356</v>
      </c>
      <c r="D59" s="1306">
        <v>12077562.5344145</v>
      </c>
      <c r="E59" s="1306">
        <v>585</v>
      </c>
      <c r="F59" s="1306">
        <v>17951075</v>
      </c>
    </row>
    <row r="60" spans="1:6">
      <c r="A60" s="1305" t="s">
        <v>48</v>
      </c>
      <c r="B60" s="1305" t="s">
        <v>52</v>
      </c>
      <c r="C60" s="1306">
        <v>137</v>
      </c>
      <c r="D60" s="1306">
        <v>4161227.5792438202</v>
      </c>
      <c r="E60" s="1306">
        <v>173</v>
      </c>
      <c r="F60" s="1306">
        <v>3212371</v>
      </c>
    </row>
    <row r="61" spans="1:6">
      <c r="A61" s="1305" t="s">
        <v>48</v>
      </c>
      <c r="B61" s="1305" t="s">
        <v>53</v>
      </c>
      <c r="C61" s="1306">
        <v>268</v>
      </c>
      <c r="D61" s="1306">
        <v>11027827.8159541</v>
      </c>
      <c r="E61" s="1306">
        <v>468</v>
      </c>
      <c r="F61" s="1306">
        <v>12765740</v>
      </c>
    </row>
    <row r="62" spans="1:6">
      <c r="A62" s="1305" t="s">
        <v>48</v>
      </c>
      <c r="B62" s="1305" t="s">
        <v>54</v>
      </c>
      <c r="C62" s="1306">
        <v>26</v>
      </c>
      <c r="D62" s="1306">
        <v>3159026.63418588</v>
      </c>
      <c r="E62" s="1306">
        <v>30</v>
      </c>
      <c r="F62" s="1306">
        <v>1080781</v>
      </c>
    </row>
    <row r="63" spans="1:6">
      <c r="A63" s="1305" t="s">
        <v>48</v>
      </c>
      <c r="B63" s="1305" t="s">
        <v>28</v>
      </c>
      <c r="C63" s="1306">
        <v>111</v>
      </c>
      <c r="D63" s="1306">
        <v>5444352.0424668603</v>
      </c>
      <c r="E63" s="1306">
        <v>74</v>
      </c>
      <c r="F63" s="1306">
        <v>2843393</v>
      </c>
    </row>
    <row r="64" spans="1:6">
      <c r="A64" s="1305" t="s">
        <v>55</v>
      </c>
      <c r="B64" s="1305" t="s">
        <v>56</v>
      </c>
      <c r="C64" s="1306">
        <v>0</v>
      </c>
      <c r="D64" s="1306">
        <v>0</v>
      </c>
      <c r="E64" s="1306">
        <v>0</v>
      </c>
      <c r="F64" s="1306">
        <v>0</v>
      </c>
    </row>
    <row r="65" spans="1:6">
      <c r="A65" s="1305" t="s">
        <v>55</v>
      </c>
      <c r="B65" s="1305" t="s">
        <v>28</v>
      </c>
      <c r="C65" s="1306">
        <v>1</v>
      </c>
      <c r="D65" s="1306">
        <v>84533.701950103306</v>
      </c>
      <c r="E65" s="1306">
        <v>3</v>
      </c>
      <c r="F65" s="1306">
        <v>24971.58</v>
      </c>
    </row>
    <row r="66" spans="1:6">
      <c r="A66" s="1305" t="s">
        <v>55</v>
      </c>
      <c r="B66" s="1305" t="s">
        <v>57</v>
      </c>
      <c r="C66" s="1306">
        <v>0</v>
      </c>
      <c r="D66" s="1306">
        <v>0</v>
      </c>
      <c r="E66" s="1306">
        <v>16</v>
      </c>
      <c r="F66" s="1306">
        <v>740986.3</v>
      </c>
    </row>
    <row r="67" spans="1:6">
      <c r="A67" s="1307" t="s">
        <v>55</v>
      </c>
      <c r="B67" s="1307" t="s">
        <v>58</v>
      </c>
      <c r="C67" s="1306">
        <v>0</v>
      </c>
      <c r="D67" s="1306">
        <v>0</v>
      </c>
      <c r="E67" s="1306">
        <v>0</v>
      </c>
      <c r="F67" s="1306">
        <v>0</v>
      </c>
    </row>
    <row r="68" spans="1:6">
      <c r="A68" s="1300" t="s">
        <v>55</v>
      </c>
      <c r="B68" s="1300" t="s">
        <v>59</v>
      </c>
      <c r="C68" s="1309">
        <v>15</v>
      </c>
      <c r="D68" s="1309">
        <v>562510.83911311801</v>
      </c>
      <c r="E68" s="1309">
        <v>38</v>
      </c>
      <c r="F68" s="1309">
        <v>1245490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85208054</v>
      </c>
      <c r="E73" s="450"/>
      <c r="F73" s="330"/>
    </row>
    <row r="74" spans="1:6">
      <c r="A74" s="1305" t="s">
        <v>63</v>
      </c>
      <c r="B74" s="1305" t="s">
        <v>710</v>
      </c>
      <c r="C74" s="1319" t="s">
        <v>712</v>
      </c>
      <c r="D74" s="1320">
        <v>6502773.3075502105</v>
      </c>
      <c r="E74" s="450"/>
      <c r="F74" s="330"/>
    </row>
    <row r="75" spans="1:6">
      <c r="A75" s="1305" t="s">
        <v>64</v>
      </c>
      <c r="B75" s="1305" t="s">
        <v>709</v>
      </c>
      <c r="C75" s="1319" t="s">
        <v>713</v>
      </c>
      <c r="D75" s="1320">
        <v>27377036</v>
      </c>
      <c r="E75" s="450"/>
      <c r="F75" s="330"/>
    </row>
    <row r="76" spans="1:6">
      <c r="A76" s="1305" t="s">
        <v>64</v>
      </c>
      <c r="B76" s="1305" t="s">
        <v>710</v>
      </c>
      <c r="C76" s="1319" t="s">
        <v>714</v>
      </c>
      <c r="D76" s="1320">
        <v>975437.30755021004</v>
      </c>
      <c r="E76" s="450"/>
      <c r="F76" s="330"/>
    </row>
    <row r="77" spans="1:6">
      <c r="A77" s="1305" t="s">
        <v>65</v>
      </c>
      <c r="B77" s="1305" t="s">
        <v>709</v>
      </c>
      <c r="C77" s="1319" t="s">
        <v>715</v>
      </c>
      <c r="D77" s="1320">
        <v>79890401</v>
      </c>
      <c r="E77" s="450"/>
      <c r="F77" s="330"/>
    </row>
    <row r="78" spans="1:6">
      <c r="A78" s="1300" t="s">
        <v>65</v>
      </c>
      <c r="B78" s="1300" t="s">
        <v>710</v>
      </c>
      <c r="C78" s="1300" t="s">
        <v>716</v>
      </c>
      <c r="D78" s="1321">
        <v>16393423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610085.3848995798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8058.9268886539867</v>
      </c>
      <c r="C90" s="330"/>
      <c r="D90" s="330"/>
      <c r="E90" s="330"/>
      <c r="F90" s="330"/>
    </row>
    <row r="91" spans="1:6">
      <c r="A91" s="1305" t="s">
        <v>67</v>
      </c>
      <c r="B91" s="1306">
        <v>4192.2459242104196</v>
      </c>
      <c r="C91" s="330"/>
      <c r="D91" s="330"/>
      <c r="E91" s="330"/>
      <c r="F91" s="330"/>
    </row>
    <row r="92" spans="1:6">
      <c r="A92" s="1300" t="s">
        <v>68</v>
      </c>
      <c r="B92" s="1301">
        <v>7351.9477069301574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9352</v>
      </c>
      <c r="C97" s="330"/>
      <c r="D97" s="330"/>
      <c r="E97" s="330"/>
      <c r="F97" s="330"/>
    </row>
    <row r="98" spans="1:6">
      <c r="A98" s="1305" t="s">
        <v>71</v>
      </c>
      <c r="B98" s="1306">
        <v>4</v>
      </c>
      <c r="C98" s="330"/>
      <c r="D98" s="330"/>
      <c r="E98" s="330"/>
      <c r="F98" s="330"/>
    </row>
    <row r="99" spans="1:6">
      <c r="A99" s="1305" t="s">
        <v>72</v>
      </c>
      <c r="B99" s="1306">
        <v>84</v>
      </c>
      <c r="C99" s="330"/>
      <c r="D99" s="330"/>
      <c r="E99" s="330"/>
      <c r="F99" s="330"/>
    </row>
    <row r="100" spans="1:6">
      <c r="A100" s="1305" t="s">
        <v>73</v>
      </c>
      <c r="B100" s="1306">
        <v>634</v>
      </c>
      <c r="C100" s="330"/>
      <c r="D100" s="330"/>
      <c r="E100" s="330"/>
      <c r="F100" s="330"/>
    </row>
    <row r="101" spans="1:6">
      <c r="A101" s="1305" t="s">
        <v>74</v>
      </c>
      <c r="B101" s="1306">
        <v>133</v>
      </c>
      <c r="C101" s="330"/>
      <c r="D101" s="330"/>
      <c r="E101" s="330"/>
      <c r="F101" s="330"/>
    </row>
    <row r="102" spans="1:6">
      <c r="A102" s="1305" t="s">
        <v>75</v>
      </c>
      <c r="B102" s="1306">
        <v>247</v>
      </c>
      <c r="C102" s="330"/>
      <c r="D102" s="330"/>
      <c r="E102" s="330"/>
      <c r="F102" s="330"/>
    </row>
    <row r="103" spans="1:6">
      <c r="A103" s="1305" t="s">
        <v>76</v>
      </c>
      <c r="B103" s="1306">
        <v>504</v>
      </c>
      <c r="C103" s="330"/>
      <c r="D103" s="330"/>
      <c r="E103" s="330"/>
      <c r="F103" s="330"/>
    </row>
    <row r="104" spans="1:6">
      <c r="A104" s="1305" t="s">
        <v>77</v>
      </c>
      <c r="B104" s="1306">
        <v>2008</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15</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162</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159478.49322680719</v>
      </c>
      <c r="C3" s="43" t="s">
        <v>169</v>
      </c>
      <c r="D3" s="43"/>
      <c r="E3" s="154"/>
      <c r="F3" s="43"/>
      <c r="G3" s="43"/>
      <c r="H3" s="43"/>
      <c r="I3" s="43"/>
      <c r="J3" s="43"/>
      <c r="K3" s="96"/>
    </row>
    <row r="4" spans="1:11">
      <c r="A4" s="359" t="s">
        <v>170</v>
      </c>
      <c r="B4" s="49">
        <f>IF(ISERROR('SEAP template'!B78+'SEAP template'!C78),0,'SEAP template'!B78+'SEAP template'!C78)</f>
        <v>33697.120519794567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0.17430364938748494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20134.285714285714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2688.8539999999998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2688.8539999999998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0.17430364938748494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468.67706487013641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45851.589</v>
      </c>
      <c r="C5" s="17">
        <f>IF(ISERROR('Eigen informatie GS &amp; warmtenet'!B57),0,'Eigen informatie GS &amp; warmtenet'!B57)</f>
        <v>0</v>
      </c>
      <c r="D5" s="30">
        <f>(SUM(HH_hh_gas_kWh,HH_rest_gas_kWh)/1000)*0.902</f>
        <v>139004.09259160823</v>
      </c>
      <c r="E5" s="17">
        <f>B46*B57</f>
        <v>13755.340882618089</v>
      </c>
      <c r="F5" s="17">
        <f>B51*B62</f>
        <v>0</v>
      </c>
      <c r="G5" s="18"/>
      <c r="H5" s="17"/>
      <c r="I5" s="17"/>
      <c r="J5" s="17">
        <f>B50*B61+C50*C61</f>
        <v>6006.2932540080383</v>
      </c>
      <c r="K5" s="17"/>
      <c r="L5" s="17"/>
      <c r="M5" s="17"/>
      <c r="N5" s="17">
        <f>B48*B59+C48*C59</f>
        <v>15705.551031569825</v>
      </c>
      <c r="O5" s="17">
        <f>B69*B70*B71</f>
        <v>279.8366666666667</v>
      </c>
      <c r="P5" s="17">
        <f>B77*B78*B79/1000-B77*B78*B79/1000/B80</f>
        <v>343.2</v>
      </c>
    </row>
    <row r="6" spans="1:16">
      <c r="A6" s="16" t="s">
        <v>630</v>
      </c>
      <c r="B6" s="763">
        <f>kWh_PV_kleiner_dan_10kW</f>
        <v>4192.2459242104196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50043.834924210416</v>
      </c>
      <c r="C8" s="21">
        <f>C5</f>
        <v>0</v>
      </c>
      <c r="D8" s="21">
        <f>D5</f>
        <v>139004.09259160823</v>
      </c>
      <c r="E8" s="21">
        <f>E5</f>
        <v>13755.340882618089</v>
      </c>
      <c r="F8" s="21">
        <f>F5</f>
        <v>0</v>
      </c>
      <c r="G8" s="21"/>
      <c r="H8" s="21"/>
      <c r="I8" s="21"/>
      <c r="J8" s="21">
        <f>J5</f>
        <v>6006.2932540080383</v>
      </c>
      <c r="K8" s="21"/>
      <c r="L8" s="21">
        <f>L5</f>
        <v>0</v>
      </c>
      <c r="M8" s="21">
        <f>M5</f>
        <v>0</v>
      </c>
      <c r="N8" s="21">
        <f>N5</f>
        <v>15705.551031569825</v>
      </c>
      <c r="O8" s="21">
        <f>O5</f>
        <v>279.8366666666667</v>
      </c>
      <c r="P8" s="21">
        <f>P5</f>
        <v>343.2</v>
      </c>
    </row>
    <row r="9" spans="1:16">
      <c r="B9" s="19"/>
      <c r="C9" s="19"/>
      <c r="D9" s="258"/>
      <c r="E9" s="19"/>
      <c r="F9" s="19"/>
      <c r="G9" s="19"/>
      <c r="H9" s="19"/>
      <c r="I9" s="19"/>
      <c r="J9" s="19"/>
      <c r="K9" s="19"/>
      <c r="L9" s="19"/>
      <c r="M9" s="19"/>
      <c r="N9" s="19"/>
      <c r="O9" s="19"/>
      <c r="P9" s="19"/>
    </row>
    <row r="10" spans="1:16">
      <c r="A10" s="24" t="s">
        <v>213</v>
      </c>
      <c r="B10" s="25">
        <f ca="1">'EF ele_warmte'!B12</f>
        <v>0.17430364938748494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8722.8230566347465</v>
      </c>
      <c r="C12" s="23">
        <f ca="1">C10*C8</f>
        <v>0</v>
      </c>
      <c r="D12" s="23">
        <f>D8*D10</f>
        <v>28078.826703504867</v>
      </c>
      <c r="E12" s="23">
        <f>E10*E8</f>
        <v>3122.4623803543063</v>
      </c>
      <c r="F12" s="23">
        <f>F10*F8</f>
        <v>0</v>
      </c>
      <c r="G12" s="23"/>
      <c r="H12" s="23"/>
      <c r="I12" s="23"/>
      <c r="J12" s="23">
        <f>J10*J8</f>
        <v>2126.2278119188454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9352</v>
      </c>
      <c r="C18" s="166" t="s">
        <v>110</v>
      </c>
      <c r="D18" s="228"/>
      <c r="E18" s="15"/>
    </row>
    <row r="19" spans="1:7">
      <c r="A19" s="171" t="s">
        <v>71</v>
      </c>
      <c r="B19" s="37">
        <f>aantalw2001_ander</f>
        <v>4</v>
      </c>
      <c r="C19" s="166" t="s">
        <v>110</v>
      </c>
      <c r="D19" s="229"/>
      <c r="E19" s="15"/>
    </row>
    <row r="20" spans="1:7">
      <c r="A20" s="171" t="s">
        <v>72</v>
      </c>
      <c r="B20" s="37">
        <f>aantalw2001_propaan</f>
        <v>84</v>
      </c>
      <c r="C20" s="167">
        <f>IF(ISERROR(B20/SUM($B$20,$B$21,$B$22)*100),0,B20/SUM($B$20,$B$21,$B$22)*100)</f>
        <v>9.8707403055229133</v>
      </c>
      <c r="D20" s="229"/>
      <c r="E20" s="15"/>
    </row>
    <row r="21" spans="1:7">
      <c r="A21" s="171" t="s">
        <v>73</v>
      </c>
      <c r="B21" s="37">
        <f>aantalw2001_elektriciteit</f>
        <v>634</v>
      </c>
      <c r="C21" s="167">
        <f>IF(ISERROR(B21/SUM($B$20,$B$21,$B$22)*100),0,B21/SUM($B$20,$B$21,$B$22)*100)</f>
        <v>74.500587544065795</v>
      </c>
      <c r="D21" s="229"/>
      <c r="E21" s="15"/>
    </row>
    <row r="22" spans="1:7">
      <c r="A22" s="171" t="s">
        <v>74</v>
      </c>
      <c r="B22" s="37">
        <f>aantalw2001_hout</f>
        <v>133</v>
      </c>
      <c r="C22" s="167">
        <f>IF(ISERROR(B22/SUM($B$20,$B$21,$B$22)*100),0,B22/SUM($B$20,$B$21,$B$22)*100)</f>
        <v>15.62867215041128</v>
      </c>
      <c r="D22" s="229"/>
      <c r="E22" s="15"/>
    </row>
    <row r="23" spans="1:7">
      <c r="A23" s="171" t="s">
        <v>75</v>
      </c>
      <c r="B23" s="37">
        <f>aantalw2001_niet_gespec</f>
        <v>247</v>
      </c>
      <c r="C23" s="166" t="s">
        <v>110</v>
      </c>
      <c r="D23" s="228"/>
      <c r="E23" s="15"/>
    </row>
    <row r="24" spans="1:7">
      <c r="A24" s="171" t="s">
        <v>76</v>
      </c>
      <c r="B24" s="37">
        <f>aantalw2001_steenkool</f>
        <v>504</v>
      </c>
      <c r="C24" s="166" t="s">
        <v>110</v>
      </c>
      <c r="D24" s="229"/>
      <c r="E24" s="15"/>
    </row>
    <row r="25" spans="1:7">
      <c r="A25" s="171" t="s">
        <v>77</v>
      </c>
      <c r="B25" s="37">
        <f>aantalw2001_stookolie</f>
        <v>2008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14173</v>
      </c>
      <c r="C28" s="36"/>
      <c r="D28" s="228"/>
    </row>
    <row r="29" spans="1:7" s="15" customFormat="1">
      <c r="A29" s="230" t="s">
        <v>737</v>
      </c>
      <c r="B29" s="37">
        <f>SUM(HH_hh_gas_aantal,HH_rest_gas_aantal)</f>
        <v>12189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12189</v>
      </c>
      <c r="C32" s="167">
        <f>IF(ISERROR(B32/SUM($B$32,$B$34,$B$35,$B$36,$B$38,$B$39)*100),0,B32/SUM($B$32,$B$34,$B$35,$B$36,$B$38,$B$39)*100)</f>
        <v>86.110914871070293</v>
      </c>
      <c r="D32" s="233"/>
      <c r="G32" s="15"/>
    </row>
    <row r="33" spans="1:7">
      <c r="A33" s="171" t="s">
        <v>71</v>
      </c>
      <c r="B33" s="34" t="s">
        <v>110</v>
      </c>
      <c r="C33" s="167"/>
      <c r="D33" s="233"/>
      <c r="G33" s="15"/>
    </row>
    <row r="34" spans="1:7">
      <c r="A34" s="171" t="s">
        <v>72</v>
      </c>
      <c r="B34" s="33">
        <f>IF((($B$28-$B$32-$B$39-$B$77-$B$38)*C20/100)&lt;0,0,($B$28-$B$32-$B$39-$B$77-$B$38)*C20/100)</f>
        <v>172.3135135135135</v>
      </c>
      <c r="C34" s="167">
        <f>IF(ISERROR(B34/SUM($B$32,$B$34,$B$35,$B$36,$B$38,$B$39)*100),0,B34/SUM($B$32,$B$34,$B$35,$B$36,$B$38,$B$39)*100)</f>
        <v>1.2173331933134124</v>
      </c>
      <c r="D34" s="233"/>
      <c r="G34" s="15"/>
    </row>
    <row r="35" spans="1:7">
      <c r="A35" s="171" t="s">
        <v>73</v>
      </c>
      <c r="B35" s="33">
        <f>IF((($B$28-$B$32-$B$39-$B$77-$B$38)*C21/100)&lt;0,0,($B$28-$B$32-$B$39-$B$77-$B$38)*C21/100)</f>
        <v>1300.5567567567566</v>
      </c>
      <c r="C35" s="167">
        <f>IF(ISERROR(B35/SUM($B$32,$B$34,$B$35,$B$36,$B$38,$B$39)*100),0,B35/SUM($B$32,$B$34,$B$35,$B$36,$B$38,$B$39)*100)</f>
        <v>9.1879671971512309</v>
      </c>
      <c r="D35" s="233"/>
      <c r="G35" s="15"/>
    </row>
    <row r="36" spans="1:7">
      <c r="A36" s="171" t="s">
        <v>74</v>
      </c>
      <c r="B36" s="33">
        <f>IF((($B$28-$B$32-$B$39-$B$77-$B$38)*C22/100)&lt;0,0,($B$28-$B$32-$B$39-$B$77-$B$38)*C22/100)</f>
        <v>272.82972972972971</v>
      </c>
      <c r="C36" s="167">
        <f>IF(ISERROR(B36/SUM($B$32,$B$34,$B$35,$B$36,$B$38,$B$39)*100),0,B36/SUM($B$32,$B$34,$B$35,$B$36,$B$38,$B$39)*100)</f>
        <v>1.9274442227462365</v>
      </c>
      <c r="D36" s="233"/>
      <c r="G36" s="15"/>
    </row>
    <row r="37" spans="1:7">
      <c r="A37" s="171" t="s">
        <v>75</v>
      </c>
      <c r="B37" s="34" t="s">
        <v>110</v>
      </c>
      <c r="C37" s="167"/>
      <c r="D37" s="173"/>
      <c r="G37" s="15"/>
    </row>
    <row r="38" spans="1:7">
      <c r="A38" s="171" t="s">
        <v>76</v>
      </c>
      <c r="B38" s="33">
        <f>IF((B24-(B29-B18)*0.1)&lt;0,0,B24-(B29-B18)*0.1)</f>
        <v>220.3</v>
      </c>
      <c r="C38" s="167">
        <f>IF(ISERROR(B38/SUM($B$32,$B$34,$B$35,$B$36,$B$38,$B$39)*100),0,B38/SUM($B$32,$B$34,$B$35,$B$36,$B$38,$B$39)*100)</f>
        <v>1.5563405157188275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12189</v>
      </c>
      <c r="C44" s="34" t="s">
        <v>110</v>
      </c>
      <c r="D44" s="174"/>
    </row>
    <row r="45" spans="1:7">
      <c r="A45" s="171" t="s">
        <v>71</v>
      </c>
      <c r="B45" s="33" t="str">
        <f t="shared" si="0"/>
        <v>-</v>
      </c>
      <c r="C45" s="34" t="s">
        <v>110</v>
      </c>
      <c r="D45" s="174"/>
    </row>
    <row r="46" spans="1:7">
      <c r="A46" s="171" t="s">
        <v>72</v>
      </c>
      <c r="B46" s="33">
        <f t="shared" si="0"/>
        <v>172.3135135135135</v>
      </c>
      <c r="C46" s="34" t="s">
        <v>110</v>
      </c>
      <c r="D46" s="174"/>
    </row>
    <row r="47" spans="1:7">
      <c r="A47" s="171" t="s">
        <v>73</v>
      </c>
      <c r="B47" s="33">
        <f t="shared" si="0"/>
        <v>1300.5567567567566</v>
      </c>
      <c r="C47" s="34" t="s">
        <v>110</v>
      </c>
      <c r="D47" s="174"/>
    </row>
    <row r="48" spans="1:7">
      <c r="A48" s="171" t="s">
        <v>74</v>
      </c>
      <c r="B48" s="33">
        <f t="shared" si="0"/>
        <v>272.82972972972971</v>
      </c>
      <c r="C48" s="33">
        <f>B48*10</f>
        <v>2728.2972972972971</v>
      </c>
      <c r="D48" s="234"/>
    </row>
    <row r="49" spans="1:6">
      <c r="A49" s="171" t="s">
        <v>75</v>
      </c>
      <c r="B49" s="33" t="str">
        <f t="shared" si="0"/>
        <v>-</v>
      </c>
      <c r="C49" s="34" t="s">
        <v>110</v>
      </c>
      <c r="D49" s="234"/>
    </row>
    <row r="50" spans="1:6">
      <c r="A50" s="171" t="s">
        <v>76</v>
      </c>
      <c r="B50" s="33">
        <f t="shared" si="0"/>
        <v>220.3</v>
      </c>
      <c r="C50" s="33">
        <f>B50*2</f>
        <v>440.6</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49522.093000000008</v>
      </c>
      <c r="C5" s="17">
        <f>IF(ISERROR('Eigen informatie GS &amp; warmtenet'!B58),0,'Eigen informatie GS &amp; warmtenet'!B58)</f>
        <v>0</v>
      </c>
      <c r="D5" s="30">
        <f>SUM(D6:D12)</f>
        <v>47421.53112889819</v>
      </c>
      <c r="E5" s="17">
        <f>SUM(E6:E12)</f>
        <v>413.51239829529061</v>
      </c>
      <c r="F5" s="17">
        <f>SUM(F6:F12)</f>
        <v>7087.4743135035787</v>
      </c>
      <c r="G5" s="18"/>
      <c r="H5" s="17"/>
      <c r="I5" s="17"/>
      <c r="J5" s="17">
        <f>SUM(J6:J12)</f>
        <v>0</v>
      </c>
      <c r="K5" s="17"/>
      <c r="L5" s="17"/>
      <c r="M5" s="17"/>
      <c r="N5" s="17">
        <f>SUM(N6:N12)</f>
        <v>4086.730186351544</v>
      </c>
      <c r="O5" s="17">
        <f>B38*B39*B40</f>
        <v>4.6900000000000004</v>
      </c>
      <c r="P5" s="17">
        <f>B46*B47*B48/1000-B46*B47*B48/1000/B49</f>
        <v>38.133333333333333</v>
      </c>
      <c r="R5" s="32"/>
    </row>
    <row r="6" spans="1:18">
      <c r="A6" s="32" t="s">
        <v>53</v>
      </c>
      <c r="B6" s="37">
        <f>B26</f>
        <v>12765.74</v>
      </c>
      <c r="C6" s="33"/>
      <c r="D6" s="37">
        <f>IF(ISERROR(TER_kantoor_gas_kWh/1000),0,TER_kantoor_gas_kWh/1000)*0.902</f>
        <v>9947.1006899905988</v>
      </c>
      <c r="E6" s="33">
        <f>$C$26*'E Balans VL '!I12/100/3.6*1000000</f>
        <v>36.984221779635469</v>
      </c>
      <c r="F6" s="33">
        <f>$C$26*('E Balans VL '!L12+'E Balans VL '!N12)/100/3.6*1000000</f>
        <v>1444.8005169417456</v>
      </c>
      <c r="G6" s="34"/>
      <c r="H6" s="33"/>
      <c r="I6" s="33"/>
      <c r="J6" s="33">
        <f>$C$26*('E Balans VL '!D12+'E Balans VL '!E12)/100/3.6*1000000</f>
        <v>0</v>
      </c>
      <c r="K6" s="33"/>
      <c r="L6" s="33"/>
      <c r="M6" s="33"/>
      <c r="N6" s="33">
        <f>$C$26*'E Balans VL '!Y12/100/3.6*1000000</f>
        <v>127.77565118279196</v>
      </c>
      <c r="O6" s="33"/>
      <c r="P6" s="33"/>
      <c r="R6" s="32"/>
    </row>
    <row r="7" spans="1:18">
      <c r="A7" s="32" t="s">
        <v>52</v>
      </c>
      <c r="B7" s="37">
        <f t="shared" ref="B7:B12" si="0">B27</f>
        <v>3212.3710000000001</v>
      </c>
      <c r="C7" s="33"/>
      <c r="D7" s="37">
        <f>IF(ISERROR(TER_horeca_gas_kWh/1000),0,TER_horeca_gas_kWh/1000)*0.902</f>
        <v>3753.4272764779262</v>
      </c>
      <c r="E7" s="33">
        <f>$C$27*'E Balans VL '!I9/100/3.6*1000000</f>
        <v>134.84635939281011</v>
      </c>
      <c r="F7" s="33">
        <f>$C$27*('E Balans VL '!L9+'E Balans VL '!N9)/100/3.6*1000000</f>
        <v>690.2437852217389</v>
      </c>
      <c r="G7" s="34"/>
      <c r="H7" s="33"/>
      <c r="I7" s="33"/>
      <c r="J7" s="33">
        <f>$C$27*('E Balans VL '!D9+'E Balans VL '!E9)/100/3.6*1000000</f>
        <v>0</v>
      </c>
      <c r="K7" s="33"/>
      <c r="L7" s="33"/>
      <c r="M7" s="33"/>
      <c r="N7" s="33">
        <f>$C$27*'E Balans VL '!Y9/100/3.6*1000000</f>
        <v>0.82779991349645921</v>
      </c>
      <c r="O7" s="33"/>
      <c r="P7" s="33"/>
      <c r="R7" s="32"/>
    </row>
    <row r="8" spans="1:18">
      <c r="A8" s="6" t="s">
        <v>51</v>
      </c>
      <c r="B8" s="37">
        <f t="shared" si="0"/>
        <v>17951.075000000001</v>
      </c>
      <c r="C8" s="33"/>
      <c r="D8" s="37">
        <f>IF(ISERROR(TER_handel_gas_kWh/1000),0,TER_handel_gas_kWh/1000)*0.902</f>
        <v>10893.961406041879</v>
      </c>
      <c r="E8" s="33">
        <f>$C$28*'E Balans VL '!I13/100/3.6*1000000</f>
        <v>192.80948575502197</v>
      </c>
      <c r="F8" s="33">
        <f>$C$28*('E Balans VL '!L13+'E Balans VL '!N13)/100/3.6*1000000</f>
        <v>2323.9148956714762</v>
      </c>
      <c r="G8" s="34"/>
      <c r="H8" s="33"/>
      <c r="I8" s="33"/>
      <c r="J8" s="33">
        <f>$C$28*('E Balans VL '!D13+'E Balans VL '!E13)/100/3.6*1000000</f>
        <v>0</v>
      </c>
      <c r="K8" s="33"/>
      <c r="L8" s="33"/>
      <c r="M8" s="33"/>
      <c r="N8" s="33">
        <f>$C$28*'E Balans VL '!Y13/100/3.6*1000000</f>
        <v>145.62010057131238</v>
      </c>
      <c r="O8" s="33"/>
      <c r="P8" s="33"/>
      <c r="R8" s="32"/>
    </row>
    <row r="9" spans="1:18">
      <c r="A9" s="32" t="s">
        <v>50</v>
      </c>
      <c r="B9" s="37">
        <f t="shared" si="0"/>
        <v>6678.74</v>
      </c>
      <c r="C9" s="33"/>
      <c r="D9" s="37">
        <f>IF(ISERROR(TER_gezond_gas_kWh/1000),0,TER_gezond_gas_kWh/1000)*0.902</f>
        <v>11724.10814162339</v>
      </c>
      <c r="E9" s="33">
        <f>$C$29*'E Balans VL '!I10/100/3.6*1000000</f>
        <v>5.3167090093303999</v>
      </c>
      <c r="F9" s="33">
        <f>$C$29*('E Balans VL '!L10+'E Balans VL '!N10)/100/3.6*1000000</f>
        <v>811.897363486279</v>
      </c>
      <c r="G9" s="34"/>
      <c r="H9" s="33"/>
      <c r="I9" s="33"/>
      <c r="J9" s="33">
        <f>$C$29*('E Balans VL '!D10+'E Balans VL '!E10)/100/3.6*1000000</f>
        <v>0</v>
      </c>
      <c r="K9" s="33"/>
      <c r="L9" s="33"/>
      <c r="M9" s="33"/>
      <c r="N9" s="33">
        <f>$C$29*'E Balans VL '!Y10/100/3.6*1000000</f>
        <v>53.949092304094179</v>
      </c>
      <c r="O9" s="33"/>
      <c r="P9" s="33"/>
      <c r="R9" s="32"/>
    </row>
    <row r="10" spans="1:18">
      <c r="A10" s="32" t="s">
        <v>49</v>
      </c>
      <c r="B10" s="37">
        <f t="shared" si="0"/>
        <v>4989.9930000000004</v>
      </c>
      <c r="C10" s="33"/>
      <c r="D10" s="37">
        <f>IF(ISERROR(TER_ander_gas_kWh/1000),0,TER_ander_gas_kWh/1000)*0.902</f>
        <v>3342.6860484236213</v>
      </c>
      <c r="E10" s="33">
        <f>$C$30*'E Balans VL '!I14/100/3.6*1000000</f>
        <v>17.10096815162948</v>
      </c>
      <c r="F10" s="33">
        <f>$C$30*('E Balans VL '!L14+'E Balans VL '!N14)/100/3.6*1000000</f>
        <v>1114.5616667700097</v>
      </c>
      <c r="G10" s="34"/>
      <c r="H10" s="33"/>
      <c r="I10" s="33"/>
      <c r="J10" s="33">
        <f>$C$30*('E Balans VL '!D14+'E Balans VL '!E14)/100/3.6*1000000</f>
        <v>0</v>
      </c>
      <c r="K10" s="33"/>
      <c r="L10" s="33"/>
      <c r="M10" s="33"/>
      <c r="N10" s="33">
        <f>$C$30*'E Balans VL '!Y14/100/3.6*1000000</f>
        <v>3514.9783289989041</v>
      </c>
      <c r="O10" s="33"/>
      <c r="P10" s="33"/>
      <c r="R10" s="32"/>
    </row>
    <row r="11" spans="1:18">
      <c r="A11" s="32" t="s">
        <v>54</v>
      </c>
      <c r="B11" s="37">
        <f t="shared" si="0"/>
        <v>1080.7809999999999</v>
      </c>
      <c r="C11" s="33"/>
      <c r="D11" s="37">
        <f>IF(ISERROR(TER_onderwijs_gas_kWh/1000),0,TER_onderwijs_gas_kWh/1000)*0.902</f>
        <v>2849.442024035664</v>
      </c>
      <c r="E11" s="33">
        <f>$C$31*'E Balans VL '!I11/100/3.6*1000000</f>
        <v>0.7471106198648052</v>
      </c>
      <c r="F11" s="33">
        <f>$C$31*('E Balans VL '!L11+'E Balans VL '!N11)/100/3.6*1000000</f>
        <v>282.91707124212189</v>
      </c>
      <c r="G11" s="34"/>
      <c r="H11" s="33"/>
      <c r="I11" s="33"/>
      <c r="J11" s="33">
        <f>$C$31*('E Balans VL '!D11+'E Balans VL '!E11)/100/3.6*1000000</f>
        <v>0</v>
      </c>
      <c r="K11" s="33"/>
      <c r="L11" s="33"/>
      <c r="M11" s="33"/>
      <c r="N11" s="33">
        <f>$C$31*'E Balans VL '!Y11/100/3.6*1000000</f>
        <v>1.0758254317553724</v>
      </c>
      <c r="O11" s="33"/>
      <c r="P11" s="33"/>
      <c r="R11" s="32"/>
    </row>
    <row r="12" spans="1:18">
      <c r="A12" s="32" t="s">
        <v>259</v>
      </c>
      <c r="B12" s="37">
        <f t="shared" si="0"/>
        <v>2843.393</v>
      </c>
      <c r="C12" s="33"/>
      <c r="D12" s="37">
        <f>IF(ISERROR(TER_rest_gas_kWh/1000),0,TER_rest_gas_kWh/1000)*0.902</f>
        <v>4910.8055423051082</v>
      </c>
      <c r="E12" s="33">
        <f>$C$32*'E Balans VL '!I8/100/3.6*1000000</f>
        <v>25.707543586998352</v>
      </c>
      <c r="F12" s="33">
        <f>$C$32*('E Balans VL '!L8+'E Balans VL '!N8)/100/3.6*1000000</f>
        <v>419.1390141702073</v>
      </c>
      <c r="G12" s="34"/>
      <c r="H12" s="33"/>
      <c r="I12" s="33"/>
      <c r="J12" s="33">
        <f>$C$32*('E Balans VL '!D8+'E Balans VL '!E8)/100/3.6*1000000</f>
        <v>0</v>
      </c>
      <c r="K12" s="33"/>
      <c r="L12" s="33"/>
      <c r="M12" s="33"/>
      <c r="N12" s="33">
        <f>$C$32*'E Balans VL '!Y8/100/3.6*1000000</f>
        <v>242.50338794918986</v>
      </c>
      <c r="O12" s="33"/>
      <c r="P12" s="33"/>
      <c r="R12" s="32"/>
    </row>
    <row r="13" spans="1:18">
      <c r="A13" s="16" t="s">
        <v>493</v>
      </c>
      <c r="B13" s="247">
        <f ca="1">'lokale energieproductie'!N38+'lokale energieproductie'!N31</f>
        <v>14094</v>
      </c>
      <c r="C13" s="247">
        <f ca="1">'lokale energieproductie'!O38+'lokale energieproductie'!O31</f>
        <v>20134.285714285714</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-40268.571428571428</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63616.093000000008</v>
      </c>
      <c r="C16" s="21">
        <f t="shared" ca="1" si="1"/>
        <v>20134.285714285714</v>
      </c>
      <c r="D16" s="21">
        <f t="shared" ca="1" si="1"/>
        <v>47421.53112889819</v>
      </c>
      <c r="E16" s="21">
        <f t="shared" si="1"/>
        <v>413.51239829529061</v>
      </c>
      <c r="F16" s="21">
        <f t="shared" ca="1" si="1"/>
        <v>7087.4743135035787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0.17430364938748494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11088.517169673636</v>
      </c>
      <c r="C20" s="23">
        <f t="shared" ref="C20:P20" ca="1" si="2">C16*C18</f>
        <v>0</v>
      </c>
      <c r="D20" s="23">
        <f t="shared" ca="1" si="2"/>
        <v>9579.1492880374353</v>
      </c>
      <c r="E20" s="23">
        <f t="shared" si="2"/>
        <v>93.867314413030968</v>
      </c>
      <c r="F20" s="23">
        <f t="shared" ca="1" si="2"/>
        <v>1892.3556417054556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12765.74</v>
      </c>
      <c r="C26" s="39">
        <f>IF(ISERROR(B26*3.6/1000000/'E Balans VL '!Z12*100),0,B26*3.6/1000000/'E Balans VL '!Z12*100)</f>
        <v>0.2804142377733328</v>
      </c>
      <c r="D26" s="237" t="s">
        <v>691</v>
      </c>
      <c r="F26" s="6"/>
    </row>
    <row r="27" spans="1:18">
      <c r="A27" s="231" t="s">
        <v>52</v>
      </c>
      <c r="B27" s="33">
        <f>IF(ISERROR(TER_horeca_ele_kWh/1000),0,TER_horeca_ele_kWh/1000)</f>
        <v>3212.3710000000001</v>
      </c>
      <c r="C27" s="39">
        <f>IF(ISERROR(B27*3.6/1000000/'E Balans VL '!Z9*100),0,B27*3.6/1000000/'E Balans VL '!Z9*100)</f>
        <v>0.25814603114233409</v>
      </c>
      <c r="D27" s="237" t="s">
        <v>691</v>
      </c>
      <c r="F27" s="6"/>
    </row>
    <row r="28" spans="1:18">
      <c r="A28" s="171" t="s">
        <v>51</v>
      </c>
      <c r="B28" s="33">
        <f>IF(ISERROR(TER_handel_ele_kWh/1000),0,TER_handel_ele_kWh/1000)</f>
        <v>17951.075000000001</v>
      </c>
      <c r="C28" s="39">
        <f>IF(ISERROR(B28*3.6/1000000/'E Balans VL '!Z13*100),0,B28*3.6/1000000/'E Balans VL '!Z13*100)</f>
        <v>0.53080074686568934</v>
      </c>
      <c r="D28" s="237" t="s">
        <v>691</v>
      </c>
      <c r="F28" s="6"/>
    </row>
    <row r="29" spans="1:18">
      <c r="A29" s="231" t="s">
        <v>50</v>
      </c>
      <c r="B29" s="33">
        <f>IF(ISERROR(TER_gezond_ele_kWh/1000),0,TER_gezond_ele_kWh/1000)</f>
        <v>6678.74</v>
      </c>
      <c r="C29" s="39">
        <f>IF(ISERROR(B29*3.6/1000000/'E Balans VL '!Z10*100),0,B29*3.6/1000000/'E Balans VL '!Z10*100)</f>
        <v>0.75252156813293125</v>
      </c>
      <c r="D29" s="237" t="s">
        <v>691</v>
      </c>
      <c r="F29" s="6"/>
    </row>
    <row r="30" spans="1:18">
      <c r="A30" s="231" t="s">
        <v>49</v>
      </c>
      <c r="B30" s="33">
        <f>IF(ISERROR(TER_ander_ele_kWh/1000),0,TER_ander_ele_kWh/1000)</f>
        <v>4989.9930000000004</v>
      </c>
      <c r="C30" s="39">
        <f>IF(ISERROR(B30*3.6/1000000/'E Balans VL '!Z14*100),0,B30*3.6/1000000/'E Balans VL '!Z14*100)</f>
        <v>0.37738464058226756</v>
      </c>
      <c r="D30" s="237" t="s">
        <v>691</v>
      </c>
      <c r="F30" s="6"/>
    </row>
    <row r="31" spans="1:18">
      <c r="A31" s="231" t="s">
        <v>54</v>
      </c>
      <c r="B31" s="33">
        <f>IF(ISERROR(TER_onderwijs_ele_kWh/1000),0,TER_onderwijs_ele_kWh/1000)</f>
        <v>1080.7809999999999</v>
      </c>
      <c r="C31" s="39">
        <f>IF(ISERROR(B31*3.6/1000000/'E Balans VL '!Z11*100),0,B31*3.6/1000000/'E Balans VL '!Z11*100)</f>
        <v>0.2243450463461773</v>
      </c>
      <c r="D31" s="237" t="s">
        <v>691</v>
      </c>
    </row>
    <row r="32" spans="1:18">
      <c r="A32" s="231" t="s">
        <v>259</v>
      </c>
      <c r="B32" s="33">
        <f>IF(ISERROR(TER_rest_ele_kWh/1000),0,TER_rest_ele_kWh/1000)</f>
        <v>2843.393</v>
      </c>
      <c r="C32" s="39">
        <f>IF(ISERROR(B32*3.6/1000000/'E Balans VL '!Z8*100),0,B32*3.6/1000000/'E Balans VL '!Z8*100)</f>
        <v>2.3953913313543875E-2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40325.124169999996</v>
      </c>
      <c r="C5" s="17">
        <f>IF(ISERROR('Eigen informatie GS &amp; warmtenet'!B59),0,'Eigen informatie GS &amp; warmtenet'!B59)</f>
        <v>0</v>
      </c>
      <c r="D5" s="30">
        <f>SUM(D6:D15)</f>
        <v>51986.685750519217</v>
      </c>
      <c r="E5" s="17">
        <f>SUM(E6:E15)</f>
        <v>4438.5743059715223</v>
      </c>
      <c r="F5" s="17">
        <f>SUM(F6:F15)</f>
        <v>23363.821897508453</v>
      </c>
      <c r="G5" s="18"/>
      <c r="H5" s="17"/>
      <c r="I5" s="17"/>
      <c r="J5" s="17">
        <f>SUM(J6:J15)</f>
        <v>203.48581899110923</v>
      </c>
      <c r="K5" s="17"/>
      <c r="L5" s="17"/>
      <c r="M5" s="17"/>
      <c r="N5" s="17">
        <f>SUM(N6:N15)</f>
        <v>4633.331459584555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491.1499</v>
      </c>
      <c r="C8" s="33"/>
      <c r="D8" s="37">
        <f>IF( ISERROR(IND_metaal_Gas_kWH/1000),0,IND_metaal_Gas_kWH/1000)*0.902</f>
        <v>290.72501417667075</v>
      </c>
      <c r="E8" s="33">
        <f>C30*'E Balans VL '!I18/100/3.6*1000000</f>
        <v>12.291763009176915</v>
      </c>
      <c r="F8" s="33">
        <f>C30*'E Balans VL '!L18/100/3.6*1000000+C30*'E Balans VL '!N18/100/3.6*1000000</f>
        <v>153.92882176524654</v>
      </c>
      <c r="G8" s="34"/>
      <c r="H8" s="33"/>
      <c r="I8" s="33"/>
      <c r="J8" s="40">
        <f>C30*'E Balans VL '!D18/100/3.6*1000000+C30*'E Balans VL '!E18/100/3.6*1000000</f>
        <v>0</v>
      </c>
      <c r="K8" s="33"/>
      <c r="L8" s="33"/>
      <c r="M8" s="33"/>
      <c r="N8" s="33">
        <f>C30*'E Balans VL '!Y18/100/3.6*1000000</f>
        <v>12.338960133140414</v>
      </c>
      <c r="O8" s="33"/>
      <c r="P8" s="33"/>
      <c r="R8" s="32"/>
    </row>
    <row r="9" spans="1:18">
      <c r="A9" s="6" t="s">
        <v>32</v>
      </c>
      <c r="B9" s="37">
        <f t="shared" si="0"/>
        <v>11859.069</v>
      </c>
      <c r="C9" s="33"/>
      <c r="D9" s="37">
        <f>IF( ISERROR(IND_andere_gas_kWh/1000),0,IND_andere_gas_kWh/1000)*0.902</f>
        <v>2995.6247281413589</v>
      </c>
      <c r="E9" s="33">
        <f>C31*'E Balans VL '!I19/100/3.6*1000000</f>
        <v>3260.7575746256689</v>
      </c>
      <c r="F9" s="33">
        <f>C31*'E Balans VL '!L19/100/3.6*1000000+C31*'E Balans VL '!N19/100/3.6*1000000</f>
        <v>9347.0099981701478</v>
      </c>
      <c r="G9" s="34"/>
      <c r="H9" s="33"/>
      <c r="I9" s="33"/>
      <c r="J9" s="40">
        <f>C31*'E Balans VL '!D19/100/3.6*1000000+C31*'E Balans VL '!E19/100/3.6*1000000</f>
        <v>0</v>
      </c>
      <c r="K9" s="33"/>
      <c r="L9" s="33"/>
      <c r="M9" s="33"/>
      <c r="N9" s="33">
        <f>C31*'E Balans VL '!Y19/100/3.6*1000000</f>
        <v>955.37407169723599</v>
      </c>
      <c r="O9" s="33"/>
      <c r="P9" s="33"/>
      <c r="R9" s="32"/>
    </row>
    <row r="10" spans="1:18">
      <c r="A10" s="6" t="s">
        <v>40</v>
      </c>
      <c r="B10" s="37">
        <f t="shared" si="0"/>
        <v>4662.7969999999996</v>
      </c>
      <c r="C10" s="33"/>
      <c r="D10" s="37">
        <f>IF( ISERROR(IND_voed_gas_kWh/1000),0,IND_voed_gas_kWh/1000)*0.902</f>
        <v>3983.5771026107823</v>
      </c>
      <c r="E10" s="33">
        <f>C32*'E Balans VL '!I20/100/3.6*1000000</f>
        <v>47.534646665475343</v>
      </c>
      <c r="F10" s="33">
        <f>C32*'E Balans VL '!L20/100/3.6*1000000+C32*'E Balans VL '!N20/100/3.6*1000000</f>
        <v>8807.9943700198946</v>
      </c>
      <c r="G10" s="34"/>
      <c r="H10" s="33"/>
      <c r="I10" s="33"/>
      <c r="J10" s="40">
        <f>C32*'E Balans VL '!D20/100/3.6*1000000+C32*'E Balans VL '!E20/100/3.6*1000000</f>
        <v>111.59598895085729</v>
      </c>
      <c r="K10" s="33"/>
      <c r="L10" s="33"/>
      <c r="M10" s="33"/>
      <c r="N10" s="33">
        <f>C32*'E Balans VL '!Y20/100/3.6*1000000</f>
        <v>2457.8311073547097</v>
      </c>
      <c r="O10" s="33"/>
      <c r="P10" s="33"/>
      <c r="R10" s="32"/>
    </row>
    <row r="11" spans="1:18">
      <c r="A11" s="6" t="s">
        <v>39</v>
      </c>
      <c r="B11" s="37">
        <f t="shared" si="0"/>
        <v>1387.482</v>
      </c>
      <c r="C11" s="33"/>
      <c r="D11" s="37">
        <f>IF( ISERROR(IND_textiel_gas_kWh/1000),0,IND_textiel_gas_kWh/1000)*0.902</f>
        <v>320.6157855040762</v>
      </c>
      <c r="E11" s="33">
        <f>C33*'E Balans VL '!I21/100/3.6*1000000</f>
        <v>3.6775060804787194</v>
      </c>
      <c r="F11" s="33">
        <f>C33*'E Balans VL '!L21/100/3.6*1000000+C33*'E Balans VL '!N21/100/3.6*1000000</f>
        <v>61.966377414259988</v>
      </c>
      <c r="G11" s="34"/>
      <c r="H11" s="33"/>
      <c r="I11" s="33"/>
      <c r="J11" s="40">
        <f>C33*'E Balans VL '!D21/100/3.6*1000000+C33*'E Balans VL '!E21/100/3.6*1000000</f>
        <v>0</v>
      </c>
      <c r="K11" s="33"/>
      <c r="L11" s="33"/>
      <c r="M11" s="33"/>
      <c r="N11" s="33">
        <f>C33*'E Balans VL '!Y21/100/3.6*1000000</f>
        <v>13.07602601943861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21.743269999999999</v>
      </c>
      <c r="C13" s="33"/>
      <c r="D13" s="37">
        <f>IF( ISERROR(IND_papier_gas_kWh/1000),0,IND_papier_gas_kWh/1000)*0.902</f>
        <v>57.791234549639469</v>
      </c>
      <c r="E13" s="33">
        <f>C35*'E Balans VL '!I23/100/3.6*1000000</f>
        <v>4.5031779805384954E-2</v>
      </c>
      <c r="F13" s="33">
        <f>C35*'E Balans VL '!L23/100/3.6*1000000+C35*'E Balans VL '!N23/100/3.6*1000000</f>
        <v>0.43121565796597355</v>
      </c>
      <c r="G13" s="34"/>
      <c r="H13" s="33"/>
      <c r="I13" s="33"/>
      <c r="J13" s="40">
        <f>C35*'E Balans VL '!D23/100/3.6*1000000+C35*'E Balans VL '!E23/100/3.6*1000000</f>
        <v>0</v>
      </c>
      <c r="K13" s="33"/>
      <c r="L13" s="33"/>
      <c r="M13" s="33"/>
      <c r="N13" s="33">
        <f>C35*'E Balans VL '!Y23/100/3.6*1000000</f>
        <v>1.5080056768773333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21902.883000000002</v>
      </c>
      <c r="C15" s="33"/>
      <c r="D15" s="37">
        <f>IF( ISERROR(IND_rest_gas_kWh/1000),0,IND_rest_gas_kWh/1000)*0.902</f>
        <v>44338.351885536686</v>
      </c>
      <c r="E15" s="33">
        <f>C37*'E Balans VL '!I15/100/3.6*1000000</f>
        <v>1114.2677838109164</v>
      </c>
      <c r="F15" s="33">
        <f>C37*'E Balans VL '!L15/100/3.6*1000000+C37*'E Balans VL '!N15/100/3.6*1000000</f>
        <v>4992.4911144809394</v>
      </c>
      <c r="G15" s="34"/>
      <c r="H15" s="33"/>
      <c r="I15" s="33"/>
      <c r="J15" s="40">
        <f>C37*'E Balans VL '!D15/100/3.6*1000000+C37*'E Balans VL '!E15/100/3.6*1000000</f>
        <v>91.889830040251923</v>
      </c>
      <c r="K15" s="33"/>
      <c r="L15" s="33"/>
      <c r="M15" s="33"/>
      <c r="N15" s="33">
        <f>C37*'E Balans VL '!Y15/100/3.6*1000000</f>
        <v>1193.2032887031526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40325.124169999996</v>
      </c>
      <c r="C18" s="21">
        <f>C5+C16</f>
        <v>0</v>
      </c>
      <c r="D18" s="21">
        <f>MAX((D5+D16),0)</f>
        <v>51986.685750519217</v>
      </c>
      <c r="E18" s="21">
        <f>MAX((E5+E16),0)</f>
        <v>4438.5743059715223</v>
      </c>
      <c r="F18" s="21">
        <f>MAX((F5+F16),0)</f>
        <v>23363.821897508453</v>
      </c>
      <c r="G18" s="21"/>
      <c r="H18" s="21"/>
      <c r="I18" s="21"/>
      <c r="J18" s="21">
        <f>MAX((J5+J16),0)</f>
        <v>203.48581899110923</v>
      </c>
      <c r="K18" s="21"/>
      <c r="L18" s="21">
        <f>MAX((L5+L16),0)</f>
        <v>0</v>
      </c>
      <c r="M18" s="21"/>
      <c r="N18" s="21">
        <f>MAX((N5+N16),0)</f>
        <v>4633.331459584555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0.17430364938748494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7028.8163048344741</v>
      </c>
      <c r="C22" s="23">
        <f ca="1">C18*C20</f>
        <v>0</v>
      </c>
      <c r="D22" s="23">
        <f>D18*D20</f>
        <v>10501.310521604883</v>
      </c>
      <c r="E22" s="23">
        <f>E18*E20</f>
        <v>1007.5563674555356</v>
      </c>
      <c r="F22" s="23">
        <f>F18*F20</f>
        <v>6238.1404466347576</v>
      </c>
      <c r="G22" s="23"/>
      <c r="H22" s="23"/>
      <c r="I22" s="23"/>
      <c r="J22" s="23">
        <f>J18*J20</f>
        <v>72.033979922852666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491.1499</v>
      </c>
      <c r="C30" s="39">
        <f>IF(ISERROR(B30*3.6/1000000/'E Balans VL '!Z18*100),0,B30*3.6/1000000/'E Balans VL '!Z18*100)</f>
        <v>6.8744618248762962E-2</v>
      </c>
      <c r="D30" s="237" t="s">
        <v>691</v>
      </c>
    </row>
    <row r="31" spans="1:18">
      <c r="A31" s="6" t="s">
        <v>32</v>
      </c>
      <c r="B31" s="37">
        <f>IF( ISERROR(IND_ander_ele_kWh/1000),0,IND_ander_ele_kWh/1000)</f>
        <v>11859.069</v>
      </c>
      <c r="C31" s="39">
        <f>IF(ISERROR(B31*3.6/1000000/'E Balans VL '!Z19*100),0,B31*3.6/1000000/'E Balans VL '!Z19*100)</f>
        <v>0.51906952631568348</v>
      </c>
      <c r="D31" s="237" t="s">
        <v>691</v>
      </c>
    </row>
    <row r="32" spans="1:18">
      <c r="A32" s="171" t="s">
        <v>40</v>
      </c>
      <c r="B32" s="37">
        <f>IF( ISERROR(IND_voed_ele_kWh/1000),0,IND_voed_ele_kWh/1000)</f>
        <v>4662.7969999999996</v>
      </c>
      <c r="C32" s="39">
        <f>IF(ISERROR(B32*3.6/1000000/'E Balans VL '!Z20*100),0,B32*3.6/1000000/'E Balans VL '!Z20*100)</f>
        <v>1.154353693349377</v>
      </c>
      <c r="D32" s="237" t="s">
        <v>691</v>
      </c>
    </row>
    <row r="33" spans="1:5">
      <c r="A33" s="171" t="s">
        <v>39</v>
      </c>
      <c r="B33" s="37">
        <f>IF( ISERROR(IND_textiel_ele_kWh/1000),0,IND_textiel_ele_kWh/1000)</f>
        <v>1387.482</v>
      </c>
      <c r="C33" s="39">
        <f>IF(ISERROR(B33*3.6/1000000/'E Balans VL '!Z21*100),0,B33*3.6/1000000/'E Balans VL '!Z21*100)</f>
        <v>0.15634478067939711</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21.743269999999999</v>
      </c>
      <c r="C35" s="39">
        <f>IF(ISERROR(B35*3.6/1000000/'E Balans VL '!Z22*100),0,B35*3.6/1000000/'E Balans VL '!Z22*100)</f>
        <v>6.16985294825951E-4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21902.883000000002</v>
      </c>
      <c r="C37" s="39">
        <f>IF(ISERROR(B37*3.6/1000000/'E Balans VL '!Z15*100),0,B37*3.6/1000000/'E Balans VL '!Z15*100)</f>
        <v>0.16240612751274661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1087.7611000000002</v>
      </c>
      <c r="C5" s="17">
        <f>'Eigen informatie GS &amp; warmtenet'!B60</f>
        <v>0</v>
      </c>
      <c r="D5" s="30">
        <f>IF(ISERROR(SUM(LB_lb_gas_kWh,LB_rest_gas_kWh)/1000),0,SUM(LB_lb_gas_kWh,LB_rest_gas_kWh)/1000)*0.902</f>
        <v>309.99562526663044</v>
      </c>
      <c r="E5" s="17">
        <f>B17*'E Balans VL '!I25/3.6*1000000/100</f>
        <v>10.075298904427962</v>
      </c>
      <c r="F5" s="17">
        <f>B17*('E Balans VL '!L25/3.6*1000000+'E Balans VL '!N25/3.6*1000000)/100</f>
        <v>2759.8571289768988</v>
      </c>
      <c r="G5" s="18"/>
      <c r="H5" s="17"/>
      <c r="I5" s="17"/>
      <c r="J5" s="17">
        <f>('E Balans VL '!D25+'E Balans VL '!E25)/3.6*1000000*landbouw!B17/100</f>
        <v>166.76591607930615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1087.7611000000002</v>
      </c>
      <c r="C8" s="21">
        <f>C5+C6</f>
        <v>0</v>
      </c>
      <c r="D8" s="21">
        <f>MAX((D5+D6),0)</f>
        <v>309.99562526663044</v>
      </c>
      <c r="E8" s="21">
        <f>MAX((E5+E6),0)</f>
        <v>10.075298904427962</v>
      </c>
      <c r="F8" s="21">
        <f>MAX((F5+F6),0)</f>
        <v>2759.8571289768988</v>
      </c>
      <c r="G8" s="21"/>
      <c r="H8" s="21"/>
      <c r="I8" s="21"/>
      <c r="J8" s="21">
        <f>MAX((J5+J6),0)</f>
        <v>166.76591607930615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0.17430364938748494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189.60072939174498</v>
      </c>
      <c r="C12" s="23">
        <f ca="1">C8*C10</f>
        <v>0</v>
      </c>
      <c r="D12" s="23">
        <f>D8*D10</f>
        <v>62.61911630385935</v>
      </c>
      <c r="E12" s="23">
        <f>E8*E10</f>
        <v>2.2870928513051476</v>
      </c>
      <c r="F12" s="23">
        <f>F8*F10</f>
        <v>736.88185343683199</v>
      </c>
      <c r="G12" s="23"/>
      <c r="H12" s="23"/>
      <c r="I12" s="23"/>
      <c r="J12" s="23">
        <f>J8*J10</f>
        <v>59.035134292074375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0.15465656389799884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170.71339392443156</v>
      </c>
      <c r="C26" s="247">
        <f>B26*'GWP N2O_CH4'!B5</f>
        <v>3584.9812724130625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79.918944631070019</v>
      </c>
      <c r="C27" s="247">
        <f>B27*'GWP N2O_CH4'!B5</f>
        <v>1678.2978372524703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2.3633301087371708</v>
      </c>
      <c r="C28" s="247">
        <f>B28*'GWP N2O_CH4'!B4</f>
        <v>732.63233370852288</v>
      </c>
      <c r="D28" s="50"/>
    </row>
    <row r="29" spans="1:4">
      <c r="A29" s="41" t="s">
        <v>276</v>
      </c>
      <c r="B29" s="247">
        <f>B34*'ha_N2O bodem landbouw'!B4</f>
        <v>9.697988171218439</v>
      </c>
      <c r="C29" s="247">
        <f>B29*'GWP N2O_CH4'!B4</f>
        <v>3006.376333077716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2.175087894336754E-3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7.839731734827914E-5</v>
      </c>
      <c r="C5" s="438" t="s">
        <v>210</v>
      </c>
      <c r="D5" s="423">
        <f>SUM(D6:D11)</f>
        <v>1.5137615068514093E-4</v>
      </c>
      <c r="E5" s="423">
        <f>SUM(E6:E11)</f>
        <v>1.5863951880143641E-3</v>
      </c>
      <c r="F5" s="436" t="s">
        <v>210</v>
      </c>
      <c r="G5" s="423">
        <f>SUM(G6:G11)</f>
        <v>0.57114500982583116</v>
      </c>
      <c r="H5" s="423">
        <f>SUM(H6:H11)</f>
        <v>9.3623151080553441E-2</v>
      </c>
      <c r="I5" s="438" t="s">
        <v>210</v>
      </c>
      <c r="J5" s="438" t="s">
        <v>210</v>
      </c>
      <c r="K5" s="438" t="s">
        <v>210</v>
      </c>
      <c r="L5" s="438" t="s">
        <v>210</v>
      </c>
      <c r="M5" s="423">
        <f>SUM(M6:M11)</f>
        <v>3.5969134838093844E-2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3.4706147859975094E-5</v>
      </c>
      <c r="C6" s="424"/>
      <c r="D6" s="866">
        <f>vkm_GW_PW*SUMIFS(TableVerdeelsleutelVkm[CNG],TableVerdeelsleutelVkm[Voertuigtype],"Lichte voertuigen")*SUMIFS(TableECFTransport[EnergieConsumptieFactor (PJ per km)],TableECFTransport[Index],CONCATENATE($A6,"_CNG_CNG"))</f>
        <v>6.0561689631123602E-5</v>
      </c>
      <c r="E6" s="866">
        <f>vkm_GW_PW*SUMIFS(TableVerdeelsleutelVkm[LPG],TableVerdeelsleutelVkm[Voertuigtype],"Lichte voertuigen")*SUMIFS(TableECFTransport[EnergieConsumptieFactor (PJ per km)],TableECFTransport[Index],CONCATENATE($A6,"_LPG_LPG"))</f>
        <v>5.8656973452240915E-4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0.13785398067890103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3.7087629731773118E-2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9.1236603177382233E-3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6.0864910617742331E-2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1.180364082470057E-6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3.528809916753555E-3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1.1150958328233399E-5</v>
      </c>
      <c r="C8" s="424"/>
      <c r="D8" s="426">
        <f>vkm_NGW_PW*SUMIFS(TableVerdeelsleutelVkm[CNG],TableVerdeelsleutelVkm[Voertuigtype],"Lichte voertuigen")*SUMIFS(TableECFTransport[EnergieConsumptieFactor (PJ per km)],TableECFTransport[Index],CONCATENATE($A8,"_CNG_CNG"))</f>
        <v>3.3319638659313996E-5</v>
      </c>
      <c r="E8" s="426">
        <f>vkm_NGW_PW*SUMIFS(TableVerdeelsleutelVkm[LPG],TableVerdeelsleutelVkm[Voertuigtype],"Lichte voertuigen")*SUMIFS(TableECFTransport[EnergieConsumptieFactor (PJ per km)],TableECFTransport[Index],CONCATENATE($A8,"_LPG_LPG"))</f>
        <v>3.054046766936827E-4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6.7372822570751015E-2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1.9701658989004493E-2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4.5070415312104574E-3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1.1795700600364667E-2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2.8335379595544714E-7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6.8388971896531222E-4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3.2540211160070647E-5</v>
      </c>
      <c r="C10" s="424"/>
      <c r="D10" s="426">
        <f>vkm_SW_PW*SUMIFS(TableVerdeelsleutelVkm[CNG],TableVerdeelsleutelVkm[Voertuigtype],"Lichte voertuigen")*SUMIFS(TableECFTransport[EnergieConsumptieFactor (PJ per km)],TableECFTransport[Index],CONCATENATE($A10,"_CNG_CNG"))</f>
        <v>5.7494822394703331E-5</v>
      </c>
      <c r="E10" s="426">
        <f>vkm_SW_PW*SUMIFS(TableVerdeelsleutelVkm[LPG],TableVerdeelsleutelVkm[Voertuigtype],"Lichte voertuigen")*SUMIFS(TableECFTransport[EnergieConsumptieFactor (PJ per km)],TableECFTransport[Index],CONCATENATE($A10,"_LPG_LPG"))</f>
        <v>6.9442077679827236E-4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0.14674575075276425</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3.6829379646311791E-2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9.6313024118047565E-3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0.14651184460530789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3.0189955856005419E-6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8.4944309416215419E-3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21.777032596744206</v>
      </c>
      <c r="C14" s="21"/>
      <c r="D14" s="21">
        <f t="shared" ref="D14:M14" si="0">((D5)*10^9/3600)+D12</f>
        <v>42.048930745872475</v>
      </c>
      <c r="E14" s="21">
        <f t="shared" si="0"/>
        <v>440.66533000399005</v>
      </c>
      <c r="F14" s="21"/>
      <c r="G14" s="21">
        <f t="shared" si="0"/>
        <v>158651.39161828643</v>
      </c>
      <c r="H14" s="21">
        <f t="shared" si="0"/>
        <v>26006.430855709288</v>
      </c>
      <c r="I14" s="21"/>
      <c r="J14" s="21"/>
      <c r="K14" s="21"/>
      <c r="L14" s="21"/>
      <c r="M14" s="21">
        <f t="shared" si="0"/>
        <v>9991.4263439149581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0.17430364938748494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3.795816254442733</v>
      </c>
      <c r="C18" s="23"/>
      <c r="D18" s="23">
        <f t="shared" ref="D18:M18" si="1">D14*D16</f>
        <v>8.4938840106662408</v>
      </c>
      <c r="E18" s="23">
        <f t="shared" si="1"/>
        <v>100.03102991090574</v>
      </c>
      <c r="F18" s="23"/>
      <c r="G18" s="23">
        <f t="shared" si="1"/>
        <v>42359.921562082483</v>
      </c>
      <c r="H18" s="23">
        <f t="shared" si="1"/>
        <v>6475.6012830716127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7.737647103587657E-3</v>
      </c>
      <c r="H50" s="319">
        <f t="shared" si="2"/>
        <v>0</v>
      </c>
      <c r="I50" s="319">
        <f t="shared" si="2"/>
        <v>0</v>
      </c>
      <c r="J50" s="319">
        <f t="shared" si="2"/>
        <v>0</v>
      </c>
      <c r="K50" s="319">
        <f t="shared" si="2"/>
        <v>0</v>
      </c>
      <c r="L50" s="319">
        <f t="shared" si="2"/>
        <v>0</v>
      </c>
      <c r="M50" s="319">
        <f t="shared" si="2"/>
        <v>4.4226035730353641E-4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7.737647103587657E-3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4.4226035730353641E-4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2149.3464176632383</v>
      </c>
      <c r="H54" s="21">
        <f t="shared" si="3"/>
        <v>0</v>
      </c>
      <c r="I54" s="21">
        <f t="shared" si="3"/>
        <v>0</v>
      </c>
      <c r="J54" s="21">
        <f t="shared" si="3"/>
        <v>0</v>
      </c>
      <c r="K54" s="21">
        <f t="shared" si="3"/>
        <v>0</v>
      </c>
      <c r="L54" s="21">
        <f t="shared" si="3"/>
        <v>0</v>
      </c>
      <c r="M54" s="21">
        <f t="shared" si="3"/>
        <v>122.85009925098232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0.17430364938748494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573.8754935160847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66304.947000000015</v>
      </c>
      <c r="D10" s="991">
        <f ca="1">tertiair!C16</f>
        <v>20134.285714285714</v>
      </c>
      <c r="E10" s="991">
        <f ca="1">tertiair!D16</f>
        <v>47421.53112889819</v>
      </c>
      <c r="F10" s="991">
        <f>tertiair!E16</f>
        <v>413.51239829529061</v>
      </c>
      <c r="G10" s="991">
        <f ca="1">tertiair!F16</f>
        <v>7087.4743135035787</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4.6900000000000004</v>
      </c>
      <c r="Q10" s="992">
        <f>tertiair!P16</f>
        <v>38.133333333333333</v>
      </c>
      <c r="R10" s="675">
        <f ca="1">SUM(C10:Q10)</f>
        <v>141404.57388831611</v>
      </c>
      <c r="S10" s="67"/>
    </row>
    <row r="11" spans="1:19" s="448" customFormat="1">
      <c r="A11" s="784" t="s">
        <v>224</v>
      </c>
      <c r="B11" s="789"/>
      <c r="C11" s="991">
        <f>huishoudens!B8</f>
        <v>50043.834924210416</v>
      </c>
      <c r="D11" s="991">
        <f>huishoudens!C8</f>
        <v>0</v>
      </c>
      <c r="E11" s="991">
        <f>huishoudens!D8</f>
        <v>139004.09259160823</v>
      </c>
      <c r="F11" s="991">
        <f>huishoudens!E8</f>
        <v>13755.340882618089</v>
      </c>
      <c r="G11" s="991">
        <f>huishoudens!F8</f>
        <v>0</v>
      </c>
      <c r="H11" s="991">
        <f>huishoudens!G8</f>
        <v>0</v>
      </c>
      <c r="I11" s="991">
        <f>huishoudens!H8</f>
        <v>0</v>
      </c>
      <c r="J11" s="991">
        <f>huishoudens!I8</f>
        <v>0</v>
      </c>
      <c r="K11" s="991">
        <f>huishoudens!J8</f>
        <v>6006.2932540080383</v>
      </c>
      <c r="L11" s="991">
        <f>huishoudens!K8</f>
        <v>0</v>
      </c>
      <c r="M11" s="991">
        <f>huishoudens!L8</f>
        <v>0</v>
      </c>
      <c r="N11" s="991">
        <f>huishoudens!M8</f>
        <v>0</v>
      </c>
      <c r="O11" s="991">
        <f>huishoudens!N8</f>
        <v>15705.551031569825</v>
      </c>
      <c r="P11" s="991">
        <f>huishoudens!O8</f>
        <v>279.8366666666667</v>
      </c>
      <c r="Q11" s="992">
        <f>huishoudens!P8</f>
        <v>343.2</v>
      </c>
      <c r="R11" s="675">
        <f>SUM(C11:Q11)</f>
        <v>225138.14935068131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40325.124169999996</v>
      </c>
      <c r="D13" s="991">
        <f>industrie!C18</f>
        <v>0</v>
      </c>
      <c r="E13" s="991">
        <f>industrie!D18</f>
        <v>51986.685750519217</v>
      </c>
      <c r="F13" s="991">
        <f>industrie!E18</f>
        <v>4438.5743059715223</v>
      </c>
      <c r="G13" s="991">
        <f>industrie!F18</f>
        <v>23363.821897508453</v>
      </c>
      <c r="H13" s="991">
        <f>industrie!G18</f>
        <v>0</v>
      </c>
      <c r="I13" s="991">
        <f>industrie!H18</f>
        <v>0</v>
      </c>
      <c r="J13" s="991">
        <f>industrie!I18</f>
        <v>0</v>
      </c>
      <c r="K13" s="991">
        <f>industrie!J18</f>
        <v>203.48581899110923</v>
      </c>
      <c r="L13" s="991">
        <f>industrie!K18</f>
        <v>0</v>
      </c>
      <c r="M13" s="991">
        <f>industrie!L18</f>
        <v>0</v>
      </c>
      <c r="N13" s="991">
        <f>industrie!M18</f>
        <v>0</v>
      </c>
      <c r="O13" s="991">
        <f>industrie!N18</f>
        <v>4633.331459584555</v>
      </c>
      <c r="P13" s="991">
        <f>industrie!O18</f>
        <v>0</v>
      </c>
      <c r="Q13" s="992">
        <f>industrie!P18</f>
        <v>0</v>
      </c>
      <c r="R13" s="675">
        <f>SUM(C13:Q13)</f>
        <v>124951.02340257484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156673.90609421043</v>
      </c>
      <c r="D16" s="707">
        <f t="shared" ref="D16:R16" ca="1" si="0">SUM(D9:D15)</f>
        <v>20134.285714285714</v>
      </c>
      <c r="E16" s="707">
        <f t="shared" ca="1" si="0"/>
        <v>238412.30947102566</v>
      </c>
      <c r="F16" s="707">
        <f t="shared" si="0"/>
        <v>18607.4275868849</v>
      </c>
      <c r="G16" s="707">
        <f t="shared" ca="1" si="0"/>
        <v>30451.296211012032</v>
      </c>
      <c r="H16" s="707">
        <f t="shared" si="0"/>
        <v>0</v>
      </c>
      <c r="I16" s="707">
        <f t="shared" si="0"/>
        <v>0</v>
      </c>
      <c r="J16" s="707">
        <f t="shared" si="0"/>
        <v>0</v>
      </c>
      <c r="K16" s="707">
        <f t="shared" si="0"/>
        <v>6209.7790729991475</v>
      </c>
      <c r="L16" s="707">
        <f t="shared" si="0"/>
        <v>0</v>
      </c>
      <c r="M16" s="707">
        <f t="shared" ca="1" si="0"/>
        <v>0</v>
      </c>
      <c r="N16" s="707">
        <f t="shared" si="0"/>
        <v>0</v>
      </c>
      <c r="O16" s="707">
        <f t="shared" ca="1" si="0"/>
        <v>20338.882491154378</v>
      </c>
      <c r="P16" s="707">
        <f t="shared" si="0"/>
        <v>284.5266666666667</v>
      </c>
      <c r="Q16" s="707">
        <f t="shared" si="0"/>
        <v>381.33333333333331</v>
      </c>
      <c r="R16" s="707">
        <f t="shared" ca="1" si="0"/>
        <v>491493.74664157222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2149.3464176632383</v>
      </c>
      <c r="I19" s="991">
        <f>transport!H54</f>
        <v>0</v>
      </c>
      <c r="J19" s="991">
        <f>transport!I54</f>
        <v>0</v>
      </c>
      <c r="K19" s="991">
        <f>transport!J54</f>
        <v>0</v>
      </c>
      <c r="L19" s="991">
        <f>transport!K54</f>
        <v>0</v>
      </c>
      <c r="M19" s="991">
        <f>transport!L54</f>
        <v>0</v>
      </c>
      <c r="N19" s="991">
        <f>transport!M54</f>
        <v>122.85009925098232</v>
      </c>
      <c r="O19" s="991">
        <f>transport!N54</f>
        <v>0</v>
      </c>
      <c r="P19" s="991">
        <f>transport!O54</f>
        <v>0</v>
      </c>
      <c r="Q19" s="992">
        <f>transport!P54</f>
        <v>0</v>
      </c>
      <c r="R19" s="675">
        <f>SUM(C19:Q19)</f>
        <v>2272.1965169142204</v>
      </c>
      <c r="S19" s="67"/>
    </row>
    <row r="20" spans="1:19" s="448" customFormat="1">
      <c r="A20" s="784" t="s">
        <v>306</v>
      </c>
      <c r="B20" s="789"/>
      <c r="C20" s="991">
        <f>transport!B14</f>
        <v>21.777032596744206</v>
      </c>
      <c r="D20" s="991">
        <f>transport!C14</f>
        <v>0</v>
      </c>
      <c r="E20" s="991">
        <f>transport!D14</f>
        <v>42.048930745872475</v>
      </c>
      <c r="F20" s="991">
        <f>transport!E14</f>
        <v>440.66533000399005</v>
      </c>
      <c r="G20" s="991">
        <f>transport!F14</f>
        <v>0</v>
      </c>
      <c r="H20" s="991">
        <f>transport!G14</f>
        <v>158651.39161828643</v>
      </c>
      <c r="I20" s="991">
        <f>transport!H14</f>
        <v>26006.430855709288</v>
      </c>
      <c r="J20" s="991">
        <f>transport!I14</f>
        <v>0</v>
      </c>
      <c r="K20" s="991">
        <f>transport!J14</f>
        <v>0</v>
      </c>
      <c r="L20" s="991">
        <f>transport!K14</f>
        <v>0</v>
      </c>
      <c r="M20" s="991">
        <f>transport!L14</f>
        <v>0</v>
      </c>
      <c r="N20" s="991">
        <f>transport!M14</f>
        <v>9991.4263439149581</v>
      </c>
      <c r="O20" s="991">
        <f>transport!N14</f>
        <v>0</v>
      </c>
      <c r="P20" s="991">
        <f>transport!O14</f>
        <v>0</v>
      </c>
      <c r="Q20" s="992">
        <f>transport!P14</f>
        <v>0</v>
      </c>
      <c r="R20" s="675">
        <f>SUM(C20:Q20)</f>
        <v>195153.74011125727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21.777032596744206</v>
      </c>
      <c r="D22" s="787">
        <f t="shared" ref="D22:R22" si="1">SUM(D18:D21)</f>
        <v>0</v>
      </c>
      <c r="E22" s="787">
        <f t="shared" si="1"/>
        <v>42.048930745872475</v>
      </c>
      <c r="F22" s="787">
        <f t="shared" si="1"/>
        <v>440.66533000399005</v>
      </c>
      <c r="G22" s="787">
        <f t="shared" si="1"/>
        <v>0</v>
      </c>
      <c r="H22" s="787">
        <f t="shared" si="1"/>
        <v>160800.73803594967</v>
      </c>
      <c r="I22" s="787">
        <f t="shared" si="1"/>
        <v>26006.430855709288</v>
      </c>
      <c r="J22" s="787">
        <f t="shared" si="1"/>
        <v>0</v>
      </c>
      <c r="K22" s="787">
        <f t="shared" si="1"/>
        <v>0</v>
      </c>
      <c r="L22" s="787">
        <f t="shared" si="1"/>
        <v>0</v>
      </c>
      <c r="M22" s="787">
        <f t="shared" si="1"/>
        <v>0</v>
      </c>
      <c r="N22" s="787">
        <f t="shared" si="1"/>
        <v>10114.27644316594</v>
      </c>
      <c r="O22" s="787">
        <f t="shared" si="1"/>
        <v>0</v>
      </c>
      <c r="P22" s="787">
        <f t="shared" si="1"/>
        <v>0</v>
      </c>
      <c r="Q22" s="787">
        <f t="shared" si="1"/>
        <v>0</v>
      </c>
      <c r="R22" s="787">
        <f t="shared" si="1"/>
        <v>197425.93662817148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1087.7611000000002</v>
      </c>
      <c r="D24" s="991">
        <f>+landbouw!C8</f>
        <v>0</v>
      </c>
      <c r="E24" s="991">
        <f>+landbouw!D8</f>
        <v>309.99562526663044</v>
      </c>
      <c r="F24" s="991">
        <f>+landbouw!E8</f>
        <v>10.075298904427962</v>
      </c>
      <c r="G24" s="991">
        <f>+landbouw!F8</f>
        <v>2759.8571289768988</v>
      </c>
      <c r="H24" s="991">
        <f>+landbouw!G8</f>
        <v>0</v>
      </c>
      <c r="I24" s="991">
        <f>+landbouw!H8</f>
        <v>0</v>
      </c>
      <c r="J24" s="991">
        <f>+landbouw!I8</f>
        <v>0</v>
      </c>
      <c r="K24" s="991">
        <f>+landbouw!J8</f>
        <v>166.76591607930615</v>
      </c>
      <c r="L24" s="991">
        <f>+landbouw!K8</f>
        <v>0</v>
      </c>
      <c r="M24" s="991">
        <f>+landbouw!L8</f>
        <v>0</v>
      </c>
      <c r="N24" s="991">
        <f>+landbouw!M8</f>
        <v>0</v>
      </c>
      <c r="O24" s="991">
        <f>+landbouw!N8</f>
        <v>0</v>
      </c>
      <c r="P24" s="991">
        <f>+landbouw!O8</f>
        <v>0</v>
      </c>
      <c r="Q24" s="992">
        <f>+landbouw!P8</f>
        <v>0</v>
      </c>
      <c r="R24" s="675">
        <f>SUM(C24:Q24)</f>
        <v>4334.4550692272642</v>
      </c>
      <c r="S24" s="67"/>
    </row>
    <row r="25" spans="1:19" s="448" customFormat="1" ht="15" thickBot="1">
      <c r="A25" s="806" t="s">
        <v>849</v>
      </c>
      <c r="B25" s="994"/>
      <c r="C25" s="995">
        <f>IF(Onbekend_ele_kWh="---",0,Onbekend_ele_kWh)/1000+IF(REST_rest_ele_kWh="---",0,REST_rest_ele_kWh)/1000</f>
        <v>1695.049</v>
      </c>
      <c r="D25" s="995"/>
      <c r="E25" s="995">
        <f>IF(onbekend_gas_kWh="---",0,onbekend_gas_kWh)/1000+IF(REST_rest_gas_kWh="---",0,REST_rest_gas_kWh)/1000</f>
        <v>4632.8367667483499</v>
      </c>
      <c r="F25" s="995"/>
      <c r="G25" s="995"/>
      <c r="H25" s="995"/>
      <c r="I25" s="995"/>
      <c r="J25" s="995"/>
      <c r="K25" s="995"/>
      <c r="L25" s="995"/>
      <c r="M25" s="995"/>
      <c r="N25" s="995"/>
      <c r="O25" s="995"/>
      <c r="P25" s="995"/>
      <c r="Q25" s="996"/>
      <c r="R25" s="675">
        <f>SUM(C25:Q25)</f>
        <v>6327.8857667483499</v>
      </c>
      <c r="S25" s="67"/>
    </row>
    <row r="26" spans="1:19" s="448" customFormat="1" ht="15.75" thickBot="1">
      <c r="A26" s="680" t="s">
        <v>850</v>
      </c>
      <c r="B26" s="792"/>
      <c r="C26" s="787">
        <f>SUM(C24:C25)</f>
        <v>2782.8101000000001</v>
      </c>
      <c r="D26" s="787">
        <f t="shared" ref="D26:R26" si="2">SUM(D24:D25)</f>
        <v>0</v>
      </c>
      <c r="E26" s="787">
        <f t="shared" si="2"/>
        <v>4942.8323920149805</v>
      </c>
      <c r="F26" s="787">
        <f t="shared" si="2"/>
        <v>10.075298904427962</v>
      </c>
      <c r="G26" s="787">
        <f t="shared" si="2"/>
        <v>2759.8571289768988</v>
      </c>
      <c r="H26" s="787">
        <f t="shared" si="2"/>
        <v>0</v>
      </c>
      <c r="I26" s="787">
        <f t="shared" si="2"/>
        <v>0</v>
      </c>
      <c r="J26" s="787">
        <f t="shared" si="2"/>
        <v>0</v>
      </c>
      <c r="K26" s="787">
        <f t="shared" si="2"/>
        <v>166.76591607930615</v>
      </c>
      <c r="L26" s="787">
        <f t="shared" si="2"/>
        <v>0</v>
      </c>
      <c r="M26" s="787">
        <f t="shared" si="2"/>
        <v>0</v>
      </c>
      <c r="N26" s="787">
        <f t="shared" si="2"/>
        <v>0</v>
      </c>
      <c r="O26" s="787">
        <f t="shared" si="2"/>
        <v>0</v>
      </c>
      <c r="P26" s="787">
        <f t="shared" si="2"/>
        <v>0</v>
      </c>
      <c r="Q26" s="787">
        <f t="shared" si="2"/>
        <v>0</v>
      </c>
      <c r="R26" s="787">
        <f t="shared" si="2"/>
        <v>10662.340835975614</v>
      </c>
      <c r="S26" s="67"/>
    </row>
    <row r="27" spans="1:19" s="448" customFormat="1" ht="17.25" thickTop="1" thickBot="1">
      <c r="A27" s="681" t="s">
        <v>115</v>
      </c>
      <c r="B27" s="780"/>
      <c r="C27" s="682">
        <f ca="1">C22+C16+C26</f>
        <v>159478.49322680719</v>
      </c>
      <c r="D27" s="682">
        <f t="shared" ref="D27:R27" ca="1" si="3">D22+D16+D26</f>
        <v>20134.285714285714</v>
      </c>
      <c r="E27" s="682">
        <f t="shared" ca="1" si="3"/>
        <v>243397.19079378649</v>
      </c>
      <c r="F27" s="682">
        <f t="shared" si="3"/>
        <v>19058.168215793317</v>
      </c>
      <c r="G27" s="682">
        <f t="shared" ca="1" si="3"/>
        <v>33211.15333998893</v>
      </c>
      <c r="H27" s="682">
        <f t="shared" si="3"/>
        <v>160800.73803594967</v>
      </c>
      <c r="I27" s="682">
        <f t="shared" si="3"/>
        <v>26006.430855709288</v>
      </c>
      <c r="J27" s="682">
        <f t="shared" si="3"/>
        <v>0</v>
      </c>
      <c r="K27" s="682">
        <f t="shared" si="3"/>
        <v>6376.5449890784539</v>
      </c>
      <c r="L27" s="682">
        <f t="shared" si="3"/>
        <v>0</v>
      </c>
      <c r="M27" s="682">
        <f t="shared" ca="1" si="3"/>
        <v>0</v>
      </c>
      <c r="N27" s="682">
        <f t="shared" si="3"/>
        <v>10114.27644316594</v>
      </c>
      <c r="O27" s="682">
        <f t="shared" ca="1" si="3"/>
        <v>20338.882491154378</v>
      </c>
      <c r="P27" s="682">
        <f t="shared" si="3"/>
        <v>284.5266666666667</v>
      </c>
      <c r="Q27" s="682">
        <f t="shared" si="3"/>
        <v>381.33333333333331</v>
      </c>
      <c r="R27" s="682">
        <f t="shared" ca="1" si="3"/>
        <v>699582.02410571929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11557.194234543773</v>
      </c>
      <c r="D40" s="991">
        <f ca="1">tertiair!C20</f>
        <v>0</v>
      </c>
      <c r="E40" s="991">
        <f ca="1">tertiair!D20</f>
        <v>9579.1492880374353</v>
      </c>
      <c r="F40" s="991">
        <f>tertiair!E20</f>
        <v>93.867314413030968</v>
      </c>
      <c r="G40" s="991">
        <f ca="1">tertiair!F20</f>
        <v>1892.3556417054556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23122.566478699693</v>
      </c>
    </row>
    <row r="41" spans="1:18">
      <c r="A41" s="797" t="s">
        <v>224</v>
      </c>
      <c r="B41" s="804"/>
      <c r="C41" s="991">
        <f ca="1">huishoudens!B12</f>
        <v>8722.8230566347465</v>
      </c>
      <c r="D41" s="991">
        <f ca="1">huishoudens!C12</f>
        <v>0</v>
      </c>
      <c r="E41" s="991">
        <f>huishoudens!D12</f>
        <v>28078.826703504867</v>
      </c>
      <c r="F41" s="991">
        <f>huishoudens!E12</f>
        <v>3122.4623803543063</v>
      </c>
      <c r="G41" s="991">
        <f>huishoudens!F12</f>
        <v>0</v>
      </c>
      <c r="H41" s="991">
        <f>huishoudens!G12</f>
        <v>0</v>
      </c>
      <c r="I41" s="991">
        <f>huishoudens!H12</f>
        <v>0</v>
      </c>
      <c r="J41" s="991">
        <f>huishoudens!I12</f>
        <v>0</v>
      </c>
      <c r="K41" s="991">
        <f>huishoudens!J12</f>
        <v>2126.2278119188454</v>
      </c>
      <c r="L41" s="991">
        <f>huishoudens!K12</f>
        <v>0</v>
      </c>
      <c r="M41" s="991">
        <f>huishoudens!L12</f>
        <v>0</v>
      </c>
      <c r="N41" s="991">
        <f>huishoudens!M12</f>
        <v>0</v>
      </c>
      <c r="O41" s="991">
        <f>huishoudens!N12</f>
        <v>0</v>
      </c>
      <c r="P41" s="991">
        <f>huishoudens!O12</f>
        <v>0</v>
      </c>
      <c r="Q41" s="749">
        <f>huishoudens!P12</f>
        <v>0</v>
      </c>
      <c r="R41" s="825">
        <f t="shared" ca="1" si="4"/>
        <v>42050.339952412767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7028.8163048344741</v>
      </c>
      <c r="D43" s="991">
        <f ca="1">industrie!C22</f>
        <v>0</v>
      </c>
      <c r="E43" s="991">
        <f>industrie!D22</f>
        <v>10501.310521604883</v>
      </c>
      <c r="F43" s="991">
        <f>industrie!E22</f>
        <v>1007.5563674555356</v>
      </c>
      <c r="G43" s="991">
        <f>industrie!F22</f>
        <v>6238.1404466347576</v>
      </c>
      <c r="H43" s="991">
        <f>industrie!G22</f>
        <v>0</v>
      </c>
      <c r="I43" s="991">
        <f>industrie!H22</f>
        <v>0</v>
      </c>
      <c r="J43" s="991">
        <f>industrie!I22</f>
        <v>0</v>
      </c>
      <c r="K43" s="991">
        <f>industrie!J22</f>
        <v>72.033979922852666</v>
      </c>
      <c r="L43" s="991">
        <f>industrie!K22</f>
        <v>0</v>
      </c>
      <c r="M43" s="991">
        <f>industrie!L22</f>
        <v>0</v>
      </c>
      <c r="N43" s="991">
        <f>industrie!M22</f>
        <v>0</v>
      </c>
      <c r="O43" s="991">
        <f>industrie!N22</f>
        <v>0</v>
      </c>
      <c r="P43" s="991">
        <f>industrie!O22</f>
        <v>0</v>
      </c>
      <c r="Q43" s="749">
        <f>industrie!P22</f>
        <v>0</v>
      </c>
      <c r="R43" s="824">
        <f t="shared" ca="1" si="4"/>
        <v>24847.857620452502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27308.833596012992</v>
      </c>
      <c r="D46" s="707">
        <f t="shared" ref="D46:Q46" ca="1" si="5">SUM(D39:D45)</f>
        <v>0</v>
      </c>
      <c r="E46" s="707">
        <f t="shared" ca="1" si="5"/>
        <v>48159.286513147192</v>
      </c>
      <c r="F46" s="707">
        <f t="shared" si="5"/>
        <v>4223.8860622228731</v>
      </c>
      <c r="G46" s="707">
        <f t="shared" ca="1" si="5"/>
        <v>8130.4960883402127</v>
      </c>
      <c r="H46" s="707">
        <f t="shared" si="5"/>
        <v>0</v>
      </c>
      <c r="I46" s="707">
        <f t="shared" si="5"/>
        <v>0</v>
      </c>
      <c r="J46" s="707">
        <f t="shared" si="5"/>
        <v>0</v>
      </c>
      <c r="K46" s="707">
        <f t="shared" si="5"/>
        <v>2198.2617918416981</v>
      </c>
      <c r="L46" s="707">
        <f t="shared" si="5"/>
        <v>0</v>
      </c>
      <c r="M46" s="707">
        <f t="shared" ca="1" si="5"/>
        <v>0</v>
      </c>
      <c r="N46" s="707">
        <f t="shared" si="5"/>
        <v>0</v>
      </c>
      <c r="O46" s="707">
        <f t="shared" ca="1" si="5"/>
        <v>0</v>
      </c>
      <c r="P46" s="707">
        <f t="shared" si="5"/>
        <v>0</v>
      </c>
      <c r="Q46" s="707">
        <f t="shared" si="5"/>
        <v>0</v>
      </c>
      <c r="R46" s="707">
        <f ca="1">SUM(R39:R45)</f>
        <v>90020.764051564969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573.8754935160847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573.8754935160847</v>
      </c>
    </row>
    <row r="50" spans="1:18">
      <c r="A50" s="800" t="s">
        <v>306</v>
      </c>
      <c r="B50" s="810"/>
      <c r="C50" s="678">
        <f ca="1">transport!B18</f>
        <v>3.795816254442733</v>
      </c>
      <c r="D50" s="678">
        <f>transport!C18</f>
        <v>0</v>
      </c>
      <c r="E50" s="678">
        <f>transport!D18</f>
        <v>8.4938840106662408</v>
      </c>
      <c r="F50" s="678">
        <f>transport!E18</f>
        <v>100.03102991090574</v>
      </c>
      <c r="G50" s="678">
        <f>transport!F18</f>
        <v>0</v>
      </c>
      <c r="H50" s="678">
        <f>transport!G18</f>
        <v>42359.921562082483</v>
      </c>
      <c r="I50" s="678">
        <f>transport!H18</f>
        <v>6475.6012830716127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48947.843575330109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3.795816254442733</v>
      </c>
      <c r="D52" s="707">
        <f t="shared" ref="D52:Q52" ca="1" si="6">SUM(D48:D51)</f>
        <v>0</v>
      </c>
      <c r="E52" s="707">
        <f t="shared" si="6"/>
        <v>8.4938840106662408</v>
      </c>
      <c r="F52" s="707">
        <f t="shared" si="6"/>
        <v>100.03102991090574</v>
      </c>
      <c r="G52" s="707">
        <f t="shared" si="6"/>
        <v>0</v>
      </c>
      <c r="H52" s="707">
        <f t="shared" si="6"/>
        <v>42933.797055598567</v>
      </c>
      <c r="I52" s="707">
        <f t="shared" si="6"/>
        <v>6475.6012830716127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49521.719068846192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189.60072939174498</v>
      </c>
      <c r="D54" s="678">
        <f ca="1">+landbouw!C12</f>
        <v>0</v>
      </c>
      <c r="E54" s="678">
        <f>+landbouw!D12</f>
        <v>62.61911630385935</v>
      </c>
      <c r="F54" s="678">
        <f>+landbouw!E12</f>
        <v>2.2870928513051476</v>
      </c>
      <c r="G54" s="678">
        <f>+landbouw!F12</f>
        <v>736.88185343683199</v>
      </c>
      <c r="H54" s="678">
        <f>+landbouw!G12</f>
        <v>0</v>
      </c>
      <c r="I54" s="678">
        <f>+landbouw!H12</f>
        <v>0</v>
      </c>
      <c r="J54" s="678">
        <f>+landbouw!I12</f>
        <v>0</v>
      </c>
      <c r="K54" s="678">
        <f>+landbouw!J12</f>
        <v>59.035134292074375</v>
      </c>
      <c r="L54" s="678">
        <f>+landbouw!K12</f>
        <v>0</v>
      </c>
      <c r="M54" s="678">
        <f>+landbouw!L12</f>
        <v>0</v>
      </c>
      <c r="N54" s="678">
        <f>+landbouw!M12</f>
        <v>0</v>
      </c>
      <c r="O54" s="678">
        <f>+landbouw!N12</f>
        <v>0</v>
      </c>
      <c r="P54" s="678">
        <f>+landbouw!O12</f>
        <v>0</v>
      </c>
      <c r="Q54" s="679">
        <f>+landbouw!P12</f>
        <v>0</v>
      </c>
      <c r="R54" s="706">
        <f ca="1">SUM(C54:Q54)</f>
        <v>1050.4239262758158</v>
      </c>
    </row>
    <row r="55" spans="1:18" ht="15" thickBot="1">
      <c r="A55" s="800" t="s">
        <v>849</v>
      </c>
      <c r="B55" s="810"/>
      <c r="C55" s="678">
        <f ca="1">C25*'EF ele_warmte'!B12</f>
        <v>295.45322659060696</v>
      </c>
      <c r="D55" s="678"/>
      <c r="E55" s="678">
        <f>E25*EF_CO2_aardgas</f>
        <v>935.83302688316678</v>
      </c>
      <c r="F55" s="678"/>
      <c r="G55" s="678"/>
      <c r="H55" s="678"/>
      <c r="I55" s="678"/>
      <c r="J55" s="678"/>
      <c r="K55" s="678"/>
      <c r="L55" s="678"/>
      <c r="M55" s="678"/>
      <c r="N55" s="678"/>
      <c r="O55" s="678"/>
      <c r="P55" s="678"/>
      <c r="Q55" s="679"/>
      <c r="R55" s="706">
        <f ca="1">SUM(C55:Q55)</f>
        <v>1231.2862534737737</v>
      </c>
    </row>
    <row r="56" spans="1:18" ht="15.75" thickBot="1">
      <c r="A56" s="798" t="s">
        <v>850</v>
      </c>
      <c r="B56" s="811"/>
      <c r="C56" s="707">
        <f ca="1">SUM(C54:C55)</f>
        <v>485.05395598235191</v>
      </c>
      <c r="D56" s="707">
        <f t="shared" ref="D56:Q56" ca="1" si="7">SUM(D54:D55)</f>
        <v>0</v>
      </c>
      <c r="E56" s="707">
        <f t="shared" si="7"/>
        <v>998.45214318702608</v>
      </c>
      <c r="F56" s="707">
        <f t="shared" si="7"/>
        <v>2.2870928513051476</v>
      </c>
      <c r="G56" s="707">
        <f t="shared" si="7"/>
        <v>736.88185343683199</v>
      </c>
      <c r="H56" s="707">
        <f t="shared" si="7"/>
        <v>0</v>
      </c>
      <c r="I56" s="707">
        <f t="shared" si="7"/>
        <v>0</v>
      </c>
      <c r="J56" s="707">
        <f t="shared" si="7"/>
        <v>0</v>
      </c>
      <c r="K56" s="707">
        <f t="shared" si="7"/>
        <v>59.035134292074375</v>
      </c>
      <c r="L56" s="707">
        <f t="shared" si="7"/>
        <v>0</v>
      </c>
      <c r="M56" s="707">
        <f t="shared" si="7"/>
        <v>0</v>
      </c>
      <c r="N56" s="707">
        <f t="shared" si="7"/>
        <v>0</v>
      </c>
      <c r="O56" s="707">
        <f t="shared" si="7"/>
        <v>0</v>
      </c>
      <c r="P56" s="707">
        <f t="shared" si="7"/>
        <v>0</v>
      </c>
      <c r="Q56" s="708">
        <f t="shared" si="7"/>
        <v>0</v>
      </c>
      <c r="R56" s="709">
        <f ca="1">SUM(R54:R55)</f>
        <v>2281.7101797495898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27797.683368249785</v>
      </c>
      <c r="D61" s="715">
        <f t="shared" ref="D61:Q61" ca="1" si="8">D46+D52+D56</f>
        <v>0</v>
      </c>
      <c r="E61" s="715">
        <f t="shared" ca="1" si="8"/>
        <v>49166.232540344885</v>
      </c>
      <c r="F61" s="715">
        <f t="shared" si="8"/>
        <v>4326.2041849850839</v>
      </c>
      <c r="G61" s="715">
        <f t="shared" ca="1" si="8"/>
        <v>8867.3779417770456</v>
      </c>
      <c r="H61" s="715">
        <f t="shared" si="8"/>
        <v>42933.797055598567</v>
      </c>
      <c r="I61" s="715">
        <f t="shared" si="8"/>
        <v>6475.6012830716127</v>
      </c>
      <c r="J61" s="715">
        <f t="shared" si="8"/>
        <v>0</v>
      </c>
      <c r="K61" s="715">
        <f t="shared" si="8"/>
        <v>2257.2969261337726</v>
      </c>
      <c r="L61" s="715">
        <f t="shared" si="8"/>
        <v>0</v>
      </c>
      <c r="M61" s="715">
        <f t="shared" ca="1" si="8"/>
        <v>0</v>
      </c>
      <c r="N61" s="715">
        <f t="shared" si="8"/>
        <v>0</v>
      </c>
      <c r="O61" s="715">
        <f t="shared" ca="1" si="8"/>
        <v>0</v>
      </c>
      <c r="P61" s="715">
        <f t="shared" si="8"/>
        <v>0</v>
      </c>
      <c r="Q61" s="715">
        <f t="shared" si="8"/>
        <v>0</v>
      </c>
      <c r="R61" s="715">
        <f ca="1">R46+R52+R56</f>
        <v>141824.19330016075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0.17430364938748491</v>
      </c>
      <c r="D63" s="756">
        <f t="shared" ca="1" si="9"/>
        <v>0</v>
      </c>
      <c r="E63" s="1002">
        <f t="shared" ca="1" si="9"/>
        <v>0.20200000000000007</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8058.9268886539867</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11544.193631140577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14094</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16581.176470588238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33697.120519794567</v>
      </c>
      <c r="C78" s="730">
        <f>SUM(C72:C77)</f>
        <v>0</v>
      </c>
      <c r="D78" s="731">
        <f t="shared" ref="D78:H78" si="10">SUM(D76:D77)</f>
        <v>0</v>
      </c>
      <c r="E78" s="731">
        <f t="shared" si="10"/>
        <v>0</v>
      </c>
      <c r="F78" s="731">
        <f t="shared" si="10"/>
        <v>0</v>
      </c>
      <c r="G78" s="731">
        <f t="shared" si="10"/>
        <v>0</v>
      </c>
      <c r="H78" s="731">
        <f t="shared" si="10"/>
        <v>0</v>
      </c>
      <c r="I78" s="731">
        <f>SUM(I76:I77)</f>
        <v>0</v>
      </c>
      <c r="J78" s="731">
        <f>SUM(J76:J77)</f>
        <v>16581.176470588238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20134.285714285714</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23687.394957983193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20134.285714285714</v>
      </c>
      <c r="C90" s="730">
        <f>SUM(C87:C89)</f>
        <v>0</v>
      </c>
      <c r="D90" s="730">
        <f t="shared" ref="D90:H90" si="12">SUM(D87:D89)</f>
        <v>0</v>
      </c>
      <c r="E90" s="730">
        <f t="shared" si="12"/>
        <v>0</v>
      </c>
      <c r="F90" s="730">
        <f t="shared" si="12"/>
        <v>0</v>
      </c>
      <c r="G90" s="730">
        <f t="shared" si="12"/>
        <v>0</v>
      </c>
      <c r="H90" s="730">
        <f t="shared" si="12"/>
        <v>0</v>
      </c>
      <c r="I90" s="730">
        <f>SUM(I87:I89)</f>
        <v>0</v>
      </c>
      <c r="J90" s="730">
        <f>SUM(J87:J89)</f>
        <v>23687.394957983193</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8058.9268886539867</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11544.193631140577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14094</v>
      </c>
      <c r="C8" s="545">
        <f>B48</f>
        <v>0</v>
      </c>
      <c r="D8" s="1022"/>
      <c r="E8" s="1022">
        <f>E48</f>
        <v>0</v>
      </c>
      <c r="F8" s="1023"/>
      <c r="G8" s="546"/>
      <c r="H8" s="1022">
        <f>I48</f>
        <v>0</v>
      </c>
      <c r="I8" s="1022">
        <f>G48+F48</f>
        <v>0</v>
      </c>
      <c r="J8" s="1022">
        <f>H48+D48+C48</f>
        <v>16581.176470588238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33697.120519794567</v>
      </c>
      <c r="C10" s="558">
        <f t="shared" ref="C10:L10" si="0">SUM(C8:C9)</f>
        <v>0</v>
      </c>
      <c r="D10" s="558">
        <f t="shared" si="0"/>
        <v>0</v>
      </c>
      <c r="E10" s="558">
        <f t="shared" si="0"/>
        <v>0</v>
      </c>
      <c r="F10" s="558">
        <f t="shared" si="0"/>
        <v>0</v>
      </c>
      <c r="G10" s="558">
        <f t="shared" si="0"/>
        <v>0</v>
      </c>
      <c r="H10" s="558">
        <f t="shared" si="0"/>
        <v>0</v>
      </c>
      <c r="I10" s="558">
        <f t="shared" si="0"/>
        <v>0</v>
      </c>
      <c r="J10" s="558">
        <f t="shared" si="0"/>
        <v>16581.176470588238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20134.285714285714</v>
      </c>
      <c r="C17" s="570">
        <f>B49</f>
        <v>0</v>
      </c>
      <c r="D17" s="571"/>
      <c r="E17" s="571">
        <f>E49</f>
        <v>0</v>
      </c>
      <c r="F17" s="1028"/>
      <c r="G17" s="572"/>
      <c r="H17" s="570">
        <f>I49</f>
        <v>0</v>
      </c>
      <c r="I17" s="571">
        <f>G49+F49</f>
        <v>0</v>
      </c>
      <c r="J17" s="571">
        <f>H49+D49+C49</f>
        <v>23687.394957983193</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20134.285714285714</v>
      </c>
      <c r="C20" s="557">
        <f>SUM(C17:C19)</f>
        <v>0</v>
      </c>
      <c r="D20" s="557">
        <f t="shared" ref="D20:L20" si="1">SUM(D17:D19)</f>
        <v>0</v>
      </c>
      <c r="E20" s="557">
        <f t="shared" si="1"/>
        <v>0</v>
      </c>
      <c r="F20" s="557">
        <f t="shared" si="1"/>
        <v>0</v>
      </c>
      <c r="G20" s="557">
        <f t="shared" si="1"/>
        <v>0</v>
      </c>
      <c r="H20" s="557">
        <f t="shared" si="1"/>
        <v>0</v>
      </c>
      <c r="I20" s="557">
        <f t="shared" si="1"/>
        <v>0</v>
      </c>
      <c r="J20" s="557">
        <f t="shared" si="1"/>
        <v>23687.394957983193</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34027</v>
      </c>
      <c r="C28" s="771">
        <v>8930</v>
      </c>
      <c r="D28" s="628" t="s">
        <v>913</v>
      </c>
      <c r="E28" s="627" t="s">
        <v>914</v>
      </c>
      <c r="F28" s="627" t="s">
        <v>915</v>
      </c>
      <c r="G28" s="627" t="s">
        <v>916</v>
      </c>
      <c r="H28" s="627" t="s">
        <v>917</v>
      </c>
      <c r="I28" s="627" t="s">
        <v>918</v>
      </c>
      <c r="J28" s="770">
        <v>41613</v>
      </c>
      <c r="K28" s="770">
        <v>41613</v>
      </c>
      <c r="L28" s="627" t="s">
        <v>919</v>
      </c>
      <c r="M28" s="627">
        <v>3132</v>
      </c>
      <c r="N28" s="627">
        <v>14094</v>
      </c>
      <c r="O28" s="627">
        <v>20134.285714285714</v>
      </c>
      <c r="P28" s="627">
        <v>0</v>
      </c>
      <c r="Q28" s="627">
        <v>40268.571428571428</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3132</v>
      </c>
      <c r="N29" s="585">
        <f>SUM(N28:N28)</f>
        <v>14094</v>
      </c>
      <c r="O29" s="585">
        <f>SUM(O28:O28)</f>
        <v>20134.285714285714</v>
      </c>
      <c r="P29" s="585">
        <f>SUM(P28:P28)</f>
        <v>0</v>
      </c>
      <c r="Q29" s="585">
        <f>SUM(Q28:Q28)</f>
        <v>40268.571428571428</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3132</v>
      </c>
      <c r="N31" s="585">
        <f ca="1">SUMIF($Z$28:AD28,"tertiair",N28:N28)</f>
        <v>14094</v>
      </c>
      <c r="O31" s="585">
        <f ca="1">SUMIF($Z$28:AE28,"tertiair",O28:O28)</f>
        <v>20134.285714285714</v>
      </c>
      <c r="P31" s="585">
        <f ca="1">SUMIF($Z$28:AF28,"tertiair",P28:P28)</f>
        <v>0</v>
      </c>
      <c r="Q31" s="585">
        <f ca="1">SUMIF($Z$28:AG28,"tertiair",Q28:Q28)</f>
        <v>40268.571428571428</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16581.176470588238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23687.394957983193</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50043.834924210416</v>
      </c>
      <c r="C4" s="452">
        <f>huishoudens!C8</f>
        <v>0</v>
      </c>
      <c r="D4" s="452">
        <f>huishoudens!D8</f>
        <v>139004.09259160823</v>
      </c>
      <c r="E4" s="452">
        <f>huishoudens!E8</f>
        <v>13755.340882618089</v>
      </c>
      <c r="F4" s="452">
        <f>huishoudens!F8</f>
        <v>0</v>
      </c>
      <c r="G4" s="452">
        <f>huishoudens!G8</f>
        <v>0</v>
      </c>
      <c r="H4" s="452">
        <f>huishoudens!H8</f>
        <v>0</v>
      </c>
      <c r="I4" s="452">
        <f>huishoudens!I8</f>
        <v>0</v>
      </c>
      <c r="J4" s="452">
        <f>huishoudens!J8</f>
        <v>6006.2932540080383</v>
      </c>
      <c r="K4" s="452">
        <f>huishoudens!K8</f>
        <v>0</v>
      </c>
      <c r="L4" s="452">
        <f>huishoudens!L8</f>
        <v>0</v>
      </c>
      <c r="M4" s="452">
        <f>huishoudens!M8</f>
        <v>0</v>
      </c>
      <c r="N4" s="452">
        <f>huishoudens!N8</f>
        <v>15705.551031569825</v>
      </c>
      <c r="O4" s="452">
        <f>huishoudens!O8</f>
        <v>279.8366666666667</v>
      </c>
      <c r="P4" s="453">
        <f>huishoudens!P8</f>
        <v>343.2</v>
      </c>
      <c r="Q4" s="454">
        <f>SUM(B4:P4)</f>
        <v>225138.14935068131</v>
      </c>
    </row>
    <row r="5" spans="1:17">
      <c r="A5" s="451" t="s">
        <v>155</v>
      </c>
      <c r="B5" s="452">
        <f ca="1">tertiair!B16</f>
        <v>63616.093000000008</v>
      </c>
      <c r="C5" s="452">
        <f ca="1">tertiair!C16</f>
        <v>20134.285714285714</v>
      </c>
      <c r="D5" s="452">
        <f ca="1">tertiair!D16</f>
        <v>47421.53112889819</v>
      </c>
      <c r="E5" s="452">
        <f>tertiair!E16</f>
        <v>413.51239829529061</v>
      </c>
      <c r="F5" s="452">
        <f ca="1">tertiair!F16</f>
        <v>7087.4743135035787</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4.6900000000000004</v>
      </c>
      <c r="P5" s="453">
        <f>tertiair!P16</f>
        <v>38.133333333333333</v>
      </c>
      <c r="Q5" s="451">
        <f t="shared" ref="Q5:Q14" ca="1" si="0">SUM(B5:P5)</f>
        <v>138715.71988831609</v>
      </c>
    </row>
    <row r="6" spans="1:17">
      <c r="A6" s="451" t="s">
        <v>193</v>
      </c>
      <c r="B6" s="452">
        <f>'openbare verlichting'!B8</f>
        <v>2688.8539999999998</v>
      </c>
      <c r="C6" s="452"/>
      <c r="D6" s="452"/>
      <c r="E6" s="452"/>
      <c r="F6" s="452"/>
      <c r="G6" s="452"/>
      <c r="H6" s="452"/>
      <c r="I6" s="452"/>
      <c r="J6" s="452"/>
      <c r="K6" s="452"/>
      <c r="L6" s="452"/>
      <c r="M6" s="452"/>
      <c r="N6" s="452"/>
      <c r="O6" s="452"/>
      <c r="P6" s="453"/>
      <c r="Q6" s="451">
        <f t="shared" si="0"/>
        <v>2688.8539999999998</v>
      </c>
    </row>
    <row r="7" spans="1:17">
      <c r="A7" s="451" t="s">
        <v>111</v>
      </c>
      <c r="B7" s="452">
        <f>landbouw!B8</f>
        <v>1087.7611000000002</v>
      </c>
      <c r="C7" s="452">
        <f>landbouw!C8</f>
        <v>0</v>
      </c>
      <c r="D7" s="452">
        <f>landbouw!D8</f>
        <v>309.99562526663044</v>
      </c>
      <c r="E7" s="452">
        <f>landbouw!E8</f>
        <v>10.075298904427962</v>
      </c>
      <c r="F7" s="452">
        <f>landbouw!F8</f>
        <v>2759.8571289768988</v>
      </c>
      <c r="G7" s="452">
        <f>landbouw!G8</f>
        <v>0</v>
      </c>
      <c r="H7" s="452">
        <f>landbouw!H8</f>
        <v>0</v>
      </c>
      <c r="I7" s="452">
        <f>landbouw!I8</f>
        <v>0</v>
      </c>
      <c r="J7" s="452">
        <f>landbouw!J8</f>
        <v>166.76591607930615</v>
      </c>
      <c r="K7" s="452">
        <f>landbouw!K8</f>
        <v>0</v>
      </c>
      <c r="L7" s="452">
        <f>landbouw!L8</f>
        <v>0</v>
      </c>
      <c r="M7" s="452">
        <f>landbouw!M8</f>
        <v>0</v>
      </c>
      <c r="N7" s="452">
        <f>landbouw!N8</f>
        <v>0</v>
      </c>
      <c r="O7" s="452">
        <f>landbouw!O8</f>
        <v>0</v>
      </c>
      <c r="P7" s="453">
        <f>landbouw!P8</f>
        <v>0</v>
      </c>
      <c r="Q7" s="451">
        <f t="shared" si="0"/>
        <v>4334.4550692272642</v>
      </c>
    </row>
    <row r="8" spans="1:17">
      <c r="A8" s="451" t="s">
        <v>649</v>
      </c>
      <c r="B8" s="452">
        <f>industrie!B18</f>
        <v>40325.124169999996</v>
      </c>
      <c r="C8" s="452">
        <f>industrie!C18</f>
        <v>0</v>
      </c>
      <c r="D8" s="452">
        <f>industrie!D18</f>
        <v>51986.685750519217</v>
      </c>
      <c r="E8" s="452">
        <f>industrie!E18</f>
        <v>4438.5743059715223</v>
      </c>
      <c r="F8" s="452">
        <f>industrie!F18</f>
        <v>23363.821897508453</v>
      </c>
      <c r="G8" s="452">
        <f>industrie!G18</f>
        <v>0</v>
      </c>
      <c r="H8" s="452">
        <f>industrie!H18</f>
        <v>0</v>
      </c>
      <c r="I8" s="452">
        <f>industrie!I18</f>
        <v>0</v>
      </c>
      <c r="J8" s="452">
        <f>industrie!J18</f>
        <v>203.48581899110923</v>
      </c>
      <c r="K8" s="452">
        <f>industrie!K18</f>
        <v>0</v>
      </c>
      <c r="L8" s="452">
        <f>industrie!L18</f>
        <v>0</v>
      </c>
      <c r="M8" s="452">
        <f>industrie!M18</f>
        <v>0</v>
      </c>
      <c r="N8" s="452">
        <f>industrie!N18</f>
        <v>4633.331459584555</v>
      </c>
      <c r="O8" s="452">
        <f>industrie!O18</f>
        <v>0</v>
      </c>
      <c r="P8" s="453">
        <f>industrie!P18</f>
        <v>0</v>
      </c>
      <c r="Q8" s="451">
        <f t="shared" si="0"/>
        <v>124951.02340257484</v>
      </c>
    </row>
    <row r="9" spans="1:17" s="457" customFormat="1">
      <c r="A9" s="455" t="s">
        <v>570</v>
      </c>
      <c r="B9" s="456">
        <f>transport!B14</f>
        <v>21.777032596744206</v>
      </c>
      <c r="C9" s="456">
        <f>transport!C14</f>
        <v>0</v>
      </c>
      <c r="D9" s="456">
        <f>transport!D14</f>
        <v>42.048930745872475</v>
      </c>
      <c r="E9" s="456">
        <f>transport!E14</f>
        <v>440.66533000399005</v>
      </c>
      <c r="F9" s="456">
        <f>transport!F14</f>
        <v>0</v>
      </c>
      <c r="G9" s="456">
        <f>transport!G14</f>
        <v>158651.39161828643</v>
      </c>
      <c r="H9" s="456">
        <f>transport!H14</f>
        <v>26006.430855709288</v>
      </c>
      <c r="I9" s="456">
        <f>transport!I14</f>
        <v>0</v>
      </c>
      <c r="J9" s="456">
        <f>transport!J14</f>
        <v>0</v>
      </c>
      <c r="K9" s="456">
        <f>transport!K14</f>
        <v>0</v>
      </c>
      <c r="L9" s="456">
        <f>transport!L14</f>
        <v>0</v>
      </c>
      <c r="M9" s="456">
        <f>transport!M14</f>
        <v>9991.4263439149581</v>
      </c>
      <c r="N9" s="456">
        <f>transport!N14</f>
        <v>0</v>
      </c>
      <c r="O9" s="456">
        <f>transport!O14</f>
        <v>0</v>
      </c>
      <c r="P9" s="456">
        <f>transport!P14</f>
        <v>0</v>
      </c>
      <c r="Q9" s="455">
        <f>SUM(B9:P9)</f>
        <v>195153.74011125727</v>
      </c>
    </row>
    <row r="10" spans="1:17">
      <c r="A10" s="451" t="s">
        <v>560</v>
      </c>
      <c r="B10" s="452">
        <f>transport!B54</f>
        <v>0</v>
      </c>
      <c r="C10" s="452">
        <f>transport!C54</f>
        <v>0</v>
      </c>
      <c r="D10" s="452">
        <f>transport!D54</f>
        <v>0</v>
      </c>
      <c r="E10" s="452">
        <f>transport!E54</f>
        <v>0</v>
      </c>
      <c r="F10" s="452">
        <f>transport!F54</f>
        <v>0</v>
      </c>
      <c r="G10" s="452">
        <f>transport!G54</f>
        <v>2149.3464176632383</v>
      </c>
      <c r="H10" s="452">
        <f>transport!H54</f>
        <v>0</v>
      </c>
      <c r="I10" s="452">
        <f>transport!I54</f>
        <v>0</v>
      </c>
      <c r="J10" s="452">
        <f>transport!J54</f>
        <v>0</v>
      </c>
      <c r="K10" s="452">
        <f>transport!K54</f>
        <v>0</v>
      </c>
      <c r="L10" s="452">
        <f>transport!L54</f>
        <v>0</v>
      </c>
      <c r="M10" s="452">
        <f>transport!M54</f>
        <v>122.85009925098232</v>
      </c>
      <c r="N10" s="452">
        <f>transport!N54</f>
        <v>0</v>
      </c>
      <c r="O10" s="452">
        <f>transport!O54</f>
        <v>0</v>
      </c>
      <c r="P10" s="453">
        <f>transport!P54</f>
        <v>0</v>
      </c>
      <c r="Q10" s="451">
        <f t="shared" si="0"/>
        <v>2272.1965169142204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1695.049</v>
      </c>
      <c r="C14" s="459"/>
      <c r="D14" s="459">
        <f>'SEAP template'!E25</f>
        <v>4632.8367667483499</v>
      </c>
      <c r="E14" s="459"/>
      <c r="F14" s="459"/>
      <c r="G14" s="459"/>
      <c r="H14" s="459"/>
      <c r="I14" s="459"/>
      <c r="J14" s="459"/>
      <c r="K14" s="459"/>
      <c r="L14" s="459"/>
      <c r="M14" s="459"/>
      <c r="N14" s="459"/>
      <c r="O14" s="459"/>
      <c r="P14" s="460"/>
      <c r="Q14" s="451">
        <f t="shared" si="0"/>
        <v>6327.8857667483499</v>
      </c>
    </row>
    <row r="15" spans="1:17" s="461" customFormat="1">
      <c r="A15" s="1017" t="s">
        <v>564</v>
      </c>
      <c r="B15" s="957">
        <f ca="1">SUM(B4:B14)</f>
        <v>159478.49322680719</v>
      </c>
      <c r="C15" s="957">
        <f t="shared" ref="C15:Q15" ca="1" si="1">SUM(C4:C14)</f>
        <v>20134.285714285714</v>
      </c>
      <c r="D15" s="957">
        <f t="shared" ca="1" si="1"/>
        <v>243397.19079378649</v>
      </c>
      <c r="E15" s="957">
        <f t="shared" si="1"/>
        <v>19058.168215793321</v>
      </c>
      <c r="F15" s="957">
        <f t="shared" ca="1" si="1"/>
        <v>33211.15333998893</v>
      </c>
      <c r="G15" s="957">
        <f t="shared" si="1"/>
        <v>160800.73803594967</v>
      </c>
      <c r="H15" s="957">
        <f t="shared" si="1"/>
        <v>26006.430855709288</v>
      </c>
      <c r="I15" s="957">
        <f t="shared" si="1"/>
        <v>0</v>
      </c>
      <c r="J15" s="957">
        <f t="shared" si="1"/>
        <v>6376.5449890784539</v>
      </c>
      <c r="K15" s="957">
        <f t="shared" si="1"/>
        <v>0</v>
      </c>
      <c r="L15" s="957">
        <f t="shared" ca="1" si="1"/>
        <v>0</v>
      </c>
      <c r="M15" s="957">
        <f t="shared" si="1"/>
        <v>10114.27644316594</v>
      </c>
      <c r="N15" s="957">
        <f t="shared" ca="1" si="1"/>
        <v>20338.882491154378</v>
      </c>
      <c r="O15" s="957">
        <f t="shared" si="1"/>
        <v>284.5266666666667</v>
      </c>
      <c r="P15" s="957">
        <f t="shared" si="1"/>
        <v>381.33333333333331</v>
      </c>
      <c r="Q15" s="957">
        <f t="shared" ca="1" si="1"/>
        <v>699582.02410571929</v>
      </c>
    </row>
    <row r="17" spans="1:17">
      <c r="A17" s="462" t="s">
        <v>565</v>
      </c>
      <c r="B17" s="761">
        <f ca="1">huishoudens!B10</f>
        <v>0.17430364938748494</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8722.8230566347465</v>
      </c>
      <c r="C22" s="452">
        <f t="shared" ref="C22:C32" ca="1" si="3">C4*$C$17</f>
        <v>0</v>
      </c>
      <c r="D22" s="452">
        <f t="shared" ref="D22:D32" si="4">D4*$D$17</f>
        <v>28078.826703504867</v>
      </c>
      <c r="E22" s="452">
        <f t="shared" ref="E22:E32" si="5">E4*$E$17</f>
        <v>3122.4623803543063</v>
      </c>
      <c r="F22" s="452">
        <f t="shared" ref="F22:F32" si="6">F4*$F$17</f>
        <v>0</v>
      </c>
      <c r="G22" s="452">
        <f t="shared" ref="G22:G32" si="7">G4*$G$17</f>
        <v>0</v>
      </c>
      <c r="H22" s="452">
        <f t="shared" ref="H22:H32" si="8">H4*$H$17</f>
        <v>0</v>
      </c>
      <c r="I22" s="452">
        <f t="shared" ref="I22:I32" si="9">I4*$I$17</f>
        <v>0</v>
      </c>
      <c r="J22" s="452">
        <f t="shared" ref="J22:J32" si="10">J4*$J$17</f>
        <v>2126.2278119188454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42050.339952412767</v>
      </c>
    </row>
    <row r="23" spans="1:17">
      <c r="A23" s="451" t="s">
        <v>155</v>
      </c>
      <c r="B23" s="452">
        <f t="shared" ca="1" si="2"/>
        <v>11088.517169673636</v>
      </c>
      <c r="C23" s="452">
        <f t="shared" ca="1" si="3"/>
        <v>0</v>
      </c>
      <c r="D23" s="452">
        <f t="shared" ca="1" si="4"/>
        <v>9579.1492880374353</v>
      </c>
      <c r="E23" s="452">
        <f t="shared" si="5"/>
        <v>93.867314413030968</v>
      </c>
      <c r="F23" s="452">
        <f t="shared" ca="1" si="6"/>
        <v>1892.3556417054556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22653.889413829558</v>
      </c>
    </row>
    <row r="24" spans="1:17">
      <c r="A24" s="451" t="s">
        <v>193</v>
      </c>
      <c r="B24" s="452">
        <f t="shared" ca="1" si="2"/>
        <v>468.67706487013641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468.67706487013641</v>
      </c>
    </row>
    <row r="25" spans="1:17">
      <c r="A25" s="451" t="s">
        <v>111</v>
      </c>
      <c r="B25" s="452">
        <f t="shared" ca="1" si="2"/>
        <v>189.60072939174498</v>
      </c>
      <c r="C25" s="452">
        <f t="shared" ca="1" si="3"/>
        <v>0</v>
      </c>
      <c r="D25" s="452">
        <f t="shared" si="4"/>
        <v>62.61911630385935</v>
      </c>
      <c r="E25" s="452">
        <f t="shared" si="5"/>
        <v>2.2870928513051476</v>
      </c>
      <c r="F25" s="452">
        <f t="shared" si="6"/>
        <v>736.88185343683199</v>
      </c>
      <c r="G25" s="452">
        <f t="shared" si="7"/>
        <v>0</v>
      </c>
      <c r="H25" s="452">
        <f t="shared" si="8"/>
        <v>0</v>
      </c>
      <c r="I25" s="452">
        <f t="shared" si="9"/>
        <v>0</v>
      </c>
      <c r="J25" s="452">
        <f t="shared" si="10"/>
        <v>59.035134292074375</v>
      </c>
      <c r="K25" s="452">
        <f t="shared" si="11"/>
        <v>0</v>
      </c>
      <c r="L25" s="452">
        <f t="shared" si="12"/>
        <v>0</v>
      </c>
      <c r="M25" s="452">
        <f t="shared" si="13"/>
        <v>0</v>
      </c>
      <c r="N25" s="452">
        <f t="shared" si="14"/>
        <v>0</v>
      </c>
      <c r="O25" s="452">
        <f t="shared" si="15"/>
        <v>0</v>
      </c>
      <c r="P25" s="453">
        <f t="shared" si="16"/>
        <v>0</v>
      </c>
      <c r="Q25" s="451">
        <f t="shared" ca="1" si="17"/>
        <v>1050.4239262758158</v>
      </c>
    </row>
    <row r="26" spans="1:17">
      <c r="A26" s="451" t="s">
        <v>649</v>
      </c>
      <c r="B26" s="452">
        <f t="shared" ca="1" si="2"/>
        <v>7028.8163048344741</v>
      </c>
      <c r="C26" s="452">
        <f t="shared" ca="1" si="3"/>
        <v>0</v>
      </c>
      <c r="D26" s="452">
        <f t="shared" si="4"/>
        <v>10501.310521604883</v>
      </c>
      <c r="E26" s="452">
        <f t="shared" si="5"/>
        <v>1007.5563674555356</v>
      </c>
      <c r="F26" s="452">
        <f t="shared" si="6"/>
        <v>6238.1404466347576</v>
      </c>
      <c r="G26" s="452">
        <f t="shared" si="7"/>
        <v>0</v>
      </c>
      <c r="H26" s="452">
        <f t="shared" si="8"/>
        <v>0</v>
      </c>
      <c r="I26" s="452">
        <f t="shared" si="9"/>
        <v>0</v>
      </c>
      <c r="J26" s="452">
        <f t="shared" si="10"/>
        <v>72.033979922852666</v>
      </c>
      <c r="K26" s="452">
        <f t="shared" si="11"/>
        <v>0</v>
      </c>
      <c r="L26" s="452">
        <f t="shared" si="12"/>
        <v>0</v>
      </c>
      <c r="M26" s="452">
        <f t="shared" si="13"/>
        <v>0</v>
      </c>
      <c r="N26" s="452">
        <f t="shared" si="14"/>
        <v>0</v>
      </c>
      <c r="O26" s="452">
        <f t="shared" si="15"/>
        <v>0</v>
      </c>
      <c r="P26" s="453">
        <f t="shared" si="16"/>
        <v>0</v>
      </c>
      <c r="Q26" s="451">
        <f t="shared" ca="1" si="17"/>
        <v>24847.857620452502</v>
      </c>
    </row>
    <row r="27" spans="1:17" s="457" customFormat="1">
      <c r="A27" s="455" t="s">
        <v>570</v>
      </c>
      <c r="B27" s="755">
        <f t="shared" ca="1" si="2"/>
        <v>3.795816254442733</v>
      </c>
      <c r="C27" s="456">
        <f t="shared" ca="1" si="3"/>
        <v>0</v>
      </c>
      <c r="D27" s="456">
        <f t="shared" si="4"/>
        <v>8.4938840106662408</v>
      </c>
      <c r="E27" s="456">
        <f t="shared" si="5"/>
        <v>100.03102991090574</v>
      </c>
      <c r="F27" s="456">
        <f t="shared" si="6"/>
        <v>0</v>
      </c>
      <c r="G27" s="456">
        <f t="shared" si="7"/>
        <v>42359.921562082483</v>
      </c>
      <c r="H27" s="456">
        <f t="shared" si="8"/>
        <v>6475.6012830716127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48947.843575330109</v>
      </c>
    </row>
    <row r="28" spans="1:17">
      <c r="A28" s="451" t="s">
        <v>560</v>
      </c>
      <c r="B28" s="452">
        <f t="shared" ca="1" si="2"/>
        <v>0</v>
      </c>
      <c r="C28" s="452">
        <f t="shared" ca="1" si="3"/>
        <v>0</v>
      </c>
      <c r="D28" s="452">
        <f t="shared" si="4"/>
        <v>0</v>
      </c>
      <c r="E28" s="452">
        <f t="shared" si="5"/>
        <v>0</v>
      </c>
      <c r="F28" s="452">
        <f t="shared" si="6"/>
        <v>0</v>
      </c>
      <c r="G28" s="452">
        <f t="shared" si="7"/>
        <v>573.8754935160847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573.8754935160847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295.45322659060696</v>
      </c>
      <c r="C32" s="452">
        <f t="shared" ca="1" si="3"/>
        <v>0</v>
      </c>
      <c r="D32" s="452">
        <f t="shared" si="4"/>
        <v>935.83302688316678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1231.2862534737737</v>
      </c>
    </row>
    <row r="33" spans="1:17" s="461" customFormat="1">
      <c r="A33" s="1017" t="s">
        <v>564</v>
      </c>
      <c r="B33" s="957">
        <f ca="1">SUM(B22:B32)</f>
        <v>27797.683368249789</v>
      </c>
      <c r="C33" s="957">
        <f t="shared" ref="C33:Q33" ca="1" si="18">SUM(C22:C32)</f>
        <v>0</v>
      </c>
      <c r="D33" s="957">
        <f t="shared" ca="1" si="18"/>
        <v>49166.232540344885</v>
      </c>
      <c r="E33" s="957">
        <f t="shared" si="18"/>
        <v>4326.2041849850848</v>
      </c>
      <c r="F33" s="957">
        <f t="shared" ca="1" si="18"/>
        <v>8867.3779417770456</v>
      </c>
      <c r="G33" s="957">
        <f t="shared" si="18"/>
        <v>42933.797055598567</v>
      </c>
      <c r="H33" s="957">
        <f t="shared" si="18"/>
        <v>6475.6012830716127</v>
      </c>
      <c r="I33" s="957">
        <f t="shared" si="18"/>
        <v>0</v>
      </c>
      <c r="J33" s="957">
        <f t="shared" si="18"/>
        <v>2257.2969261337726</v>
      </c>
      <c r="K33" s="957">
        <f t="shared" si="18"/>
        <v>0</v>
      </c>
      <c r="L33" s="957">
        <f t="shared" ca="1" si="18"/>
        <v>0</v>
      </c>
      <c r="M33" s="957">
        <f t="shared" si="18"/>
        <v>0</v>
      </c>
      <c r="N33" s="957">
        <f t="shared" ca="1" si="18"/>
        <v>0</v>
      </c>
      <c r="O33" s="957">
        <f t="shared" si="18"/>
        <v>0</v>
      </c>
      <c r="P33" s="957">
        <f t="shared" si="18"/>
        <v>0</v>
      </c>
      <c r="Q33" s="957">
        <f t="shared" ca="1" si="18"/>
        <v>141824.19330016075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8058.9268886539867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11544.193631140577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14094</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16581.176470588238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33697.120519794567</v>
      </c>
      <c r="C10" s="1038">
        <f>SUM(C4:C9)</f>
        <v>0</v>
      </c>
      <c r="D10" s="1038">
        <f t="shared" ref="D10:H10" si="0">SUM(D8:D9)</f>
        <v>0</v>
      </c>
      <c r="E10" s="1038">
        <f t="shared" si="0"/>
        <v>0</v>
      </c>
      <c r="F10" s="1038">
        <f t="shared" si="0"/>
        <v>0</v>
      </c>
      <c r="G10" s="1038">
        <f t="shared" si="0"/>
        <v>0</v>
      </c>
      <c r="H10" s="1038">
        <f t="shared" si="0"/>
        <v>0</v>
      </c>
      <c r="I10" s="1038">
        <f>SUM(I8:I9)</f>
        <v>0</v>
      </c>
      <c r="J10" s="1038">
        <f>SUM(J8:J9)</f>
        <v>16581.176470588238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0.17430364938748494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20134.285714285714</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23687.394957983193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20134.285714285714</v>
      </c>
      <c r="C20" s="1038">
        <f>SUM(C17:C19)</f>
        <v>0</v>
      </c>
      <c r="D20" s="1038">
        <f t="shared" ref="D20:H20" si="2">SUM(D17:D19)</f>
        <v>0</v>
      </c>
      <c r="E20" s="1038">
        <f t="shared" si="2"/>
        <v>0</v>
      </c>
      <c r="F20" s="1038">
        <f t="shared" si="2"/>
        <v>0</v>
      </c>
      <c r="G20" s="1038">
        <f t="shared" si="2"/>
        <v>0</v>
      </c>
      <c r="H20" s="1038">
        <f t="shared" si="2"/>
        <v>0</v>
      </c>
      <c r="I20" s="1038">
        <f>SUM(I17:I19)</f>
        <v>0</v>
      </c>
      <c r="J20" s="1038">
        <f>SUM(J17:J19)</f>
        <v>23687.394957983193</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0.17430364938748494</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2020-06-20T16:07:40Z</dcterms:modified>
</cp:coreProperties>
</file>