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E5" i="48"/>
  <c r="E23" i="48" s="1"/>
  <c r="F10" i="14"/>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J33" i="48" s="1"/>
  <c r="E33" i="48"/>
  <c r="E8" i="48"/>
  <c r="E26" i="48" s="1"/>
  <c r="F13" i="14"/>
  <c r="F16" i="14" s="1"/>
  <c r="F27" i="14" s="1"/>
  <c r="F63" i="14" s="1"/>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<sst xmlns="http://schemas.openxmlformats.org/spreadsheetml/2006/main" count="2434" uniqueCount="913">
  <si>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</si>
  <si>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</si>
  <si>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</si>
  <si>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</si>
  <si>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</si>
  <si>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</si>
  <si>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</si>
  <si>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</si>
  <si>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</si>
  <si>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</si>
  <si>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</si>
  <si>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</si>
  <si>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</si>
  <si>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</si>
  <si>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</si>
  <si>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</si>
  <si>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</si>
  <si>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</si>
  <si>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</si>
  <si>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</si>
  <si>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</si>
  <si>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</si>
  <si>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</si>
  <si>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</si>
  <si>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</si>
  <si>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</si>
  <si>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</si>
  <si>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</si>
  <si>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</si>
  <si>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</si>
  <si>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</si>
  <si>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</si>
  <si>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</si>
  <si>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</si>
  <si>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</si>
  <si>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</si>
  <si>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</si>
  <si>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</si>
  <si>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</si>
  <si>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</si>
  <si>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</si>
  <si>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</si>
  <si>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</si>
  <si>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</si>
  <si>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</si>
  <si>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</si>
  <si>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</si>
  <si>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</si>
  <si>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</si>
  <si>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</si>
  <si>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</si>
  <si>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</si>
  <si>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</si>
  <si>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</si>
  <si>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</si>
  <si>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</si>
  <si>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</si>
  <si>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</si>
  <si>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</si>
  <si>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</si>
  <si>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</si>
  <si>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</si>
  <si>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</si>
  <si>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</si>
  <si>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</si>
  <si>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</si>
  <si>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</si>
  <si>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</si>
  <si>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</si>
  <si>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</si>
  <si>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</si>
  <si>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</si>
  <si>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</si>
  <si>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</si>
  <si>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</si>
  <si>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</si>
  <si>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</si>
  <si>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</si>
  <si>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</si>
  <si>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</si>
  <si>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</si>
  <si>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</si>
  <si>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</si>
  <si>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</si>
  <si>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</si>
  <si>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</si>
  <si>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</si>
  <si>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</si>
  <si>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</si>
  <si>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</si>
  <si>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</si>
  <si>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</si>
  <si>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</si>
  <si>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</si>
  <si>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</si>
  <si>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</si>
  <si>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</si>
  <si>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</si>
  <si>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</si>
  <si>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</si>
  <si>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</si>
  <si>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</si>
  <si>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</si>
  <si>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</si>
  <si>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</si>
  <si>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</si>
  <si>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</si>
  <si>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</si>
  <si>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</si>
  <si>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</si>
  <si>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</si>
  <si>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</si>
  <si>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</si>
  <si>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</si>
  <si>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</si>
  <si>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</si>
  <si>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</si>
  <si>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</si>
  <si>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</si>
  <si>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</si>
  <si>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</si>
  <si>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</si>
  <si>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</si>
  <si>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</si>
  <si>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</si>
  <si>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</si>
  <si>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</si>
  <si>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</si>
  <si>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</si>
  <si>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</si>
  <si>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</si>
  <si>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</si>
  <si>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</si>
  <si>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</si>
  <si>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</si>
  <si>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</si>
  <si>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</si>
  <si>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</si>
  <si>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</si>
  <si>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</si>
  <si>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</si>
  <si>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</si>
  <si>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</si>
  <si>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</si>
  <si>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</si>
  <si>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</si>
  <si>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</si>
  <si>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</si>
  <si>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</si>
  <si>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</si>
  <si>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</si>
  <si>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</si>
  <si>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</si>
  <si>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</si>
  <si>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</si>
  <si>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</si>
  <si>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</si>
  <si>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</si>
  <si>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</si>
  <si>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</si>
  <si>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</si>
  <si>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</si>
  <si>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</si>
  <si>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</si>
  <si>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</si>
  <si>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</si>
  <si>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</si>
  <si>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</si>
  <si>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</si>
  <si>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</si>
  <si>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</si>
  <si>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</si>
  <si>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</si>
  <si>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</si>
  <si>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</si>
  <si>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</si>
  <si>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</si>
  <si>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</si>
  <si>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</si>
  <si>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</si>
  <si>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</si>
  <si>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</si>
  <si>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</si>
  <si>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</si>
  <si>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</si>
  <si>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</si>
  <si>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</si>
  <si>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</si>
  <si>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</si>
  <si>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</si>
  <si>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</si>
  <si>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</si>
  <si>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</si>
  <si>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</si>
  <si>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</si>
  <si>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</si>
  <si>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</si>
  <si>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</si>
  <si>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</si>
  <si>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</si>
  <si>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</si>
  <si>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</si>
  <si>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</si>
  <si>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</si>
  <si>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</si>
  <si>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</si>
  <si>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</si>
  <si>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</si>
  <si>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</si>
  <si>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</si>
  <si>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</si>
  <si>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</si>
  <si>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</si>
  <si>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</si>
  <si>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</si>
  <si>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</si>
  <si>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</si>
  <si>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</si>
  <si>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</si>
  <si>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</si>
  <si>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</si>
  <si>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</si>
  <si>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</si>
  <si>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</si>
  <si>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</si>
  <si>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</si>
  <si>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</si>
  <si>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</si>
  <si>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</si>
  <si>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</si>
  <si>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</si>
  <si>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</si>
  <si>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</si>
  <si>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</si>
  <si>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</si>
  <si>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</si>
  <si>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</si>
  <si>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</si>
  <si>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</si>
  <si>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</si>
  <si>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</si>
  <si>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</si>
  <si>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</si>
  <si>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</si>
  <si>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</si>
  <si>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</si>
  <si>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</si>
  <si>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</si>
  <si>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</si>
  <si>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</si>
  <si>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</si>
  <si>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</si>
  <si>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</si>
  <si>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</si>
  <si>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</si>
  <si>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</si>
  <si>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</si>
  <si>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</si>
  <si>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</si>
  <si>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</si>
  <si>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</si>
  <si>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</si>
  <si>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</si>
  <si>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</si>
  <si>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</si>
  <si>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</si>
  <si>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</si>
  <si>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</si>
  <si>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</si>
  <si>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</si>
  <si>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</si>
  <si>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</si>
  <si>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</si>
  <si>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</si>
  <si>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</si>
  <si>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</si>
  <si>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</si>
  <si>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</si>
  <si>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</si>
  <si>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</si>
  <si>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</si>
  <si>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</si>
  <si>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</si>
  <si>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</si>
  <si>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</si>
  <si>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</si>
  <si>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</si>
  <si>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</si>
  <si>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</si>
  <si>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</si>
  <si>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</si>
  <si>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</si>
  <si>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</si>
  <si>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</si>
  <si>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</si>
  <si>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</si>
  <si>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</si>
  <si>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</si>
  <si>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</si>
  <si>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</si>
  <si>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</si>
  <si>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</si>
  <si>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</si>
  <si>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</si>
  <si>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</si>
  <si>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</si>
  <si>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</si>
  <si>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</si>
  <si>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</si>
  <si>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</si>
  <si>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</si>
  <si>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</si>
  <si>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</si>
  <si>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</si>
  <si>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</si>
  <si>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</si>
  <si>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</si>
  <si>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</si>
  <si>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</si>
  <si>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</si>
  <si>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</si>
  <si>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</si>
  <si>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</si>
  <si>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</si>
  <si>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</si>
  <si>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</si>
  <si>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</si>
  <si>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</si>
  <si>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</si>
  <si>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</si>
  <si>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</si>
  <si>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</si>
  <si>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</si>
  <si>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</si>
  <si>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</si>
  <si>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</si>
  <si>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</si>
  <si>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</si>
  <si>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</si>
  <si>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</si>
  <si>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</si>
  <si>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</si>
  <si>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</si>
  <si>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</si>
  <si>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</si>
  <si>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</si>
  <si>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</si>
  <si>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</si>
  <si>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</si>
  <si>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</si>
  <si>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</si>
  <si>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</si>
  <si>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</si>
  <si>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</si>
  <si>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</si>
  <si>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</si>
  <si>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</si>
  <si>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</si>
  <si>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</si>
  <si>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</si>
  <si>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</si>
  <si>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</si>
  <si>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</si>
  <si>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</si>
  <si>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</si>
  <si>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</si>
  <si>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</si>
  <si>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</si>
  <si>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</si>
  <si>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</si>
  <si>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</si>
  <si>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</si>
  <si>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</si>
  <si>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</si>
  <si>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</si>
  <si>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</si>
  <si>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</si>
  <si>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</si>
  <si>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</si>
  <si>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</si>
  <si>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</si>
  <si>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</si>
  <si>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</si>
  <si>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</si>
  <si>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</si>
  <si>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</si>
  <si>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</si>
  <si>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</si>
  <si>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</si>
  <si>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</si>
  <si>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</si>
  <si>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</si>
  <si>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</si>
  <si>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</si>
  <si>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</si>
  <si>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</si>
  <si>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</si>
  <si>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</si>
  <si>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</si>
  <si>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</si>
  <si>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</si>
  <si>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</si>
  <si>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</si>
  <si>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</si>
  <si>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</si>
  <si>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</si>
  <si>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</si>
  <si>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</si>
  <si>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</si>
  <si>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</si>
  <si>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</si>
  <si>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</si>
  <si>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</si>
  <si>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</si>
  <si>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</si>
  <si>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</si>
  <si>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</si>
  <si>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</si>
  <si>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</si>
  <si>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</si>
  <si>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</si>
  <si>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</si>
  <si>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</si>
  <si>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</si>
  <si>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</si>
  <si>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</si>
  <si>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</si>
  <si>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</si>
  <si>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</si>
  <si>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</si>
  <si>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</si>
  <si>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</si>
  <si>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</si>
  <si>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</si>
  <si>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</si>
  <si>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</si>
  <si>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</si>
  <si>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</si>
  <si>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</si>
  <si>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</si>
  <si>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</si>
  <si>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</si>
  <si>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</si>
  <si>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</si>
  <si>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</si>
  <si>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</si>
  <si>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</si>
  <si>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</si>
  <si>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</si>
  <si>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</si>
  <si>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</si>
  <si>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</si>
  <si>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</si>
  <si>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</si>
  <si>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</si>
  <si>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</si>
  <si>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</si>
  <si>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</si>
  <si>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</si>
  <si>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</si>
  <si>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</si>
  <si>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</si>
  <si>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</si>
  <si>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</si>
  <si>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</si>
  <si>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</si>
  <si>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</si>
  <si>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</si>
  <si>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</si>
  <si>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</si>
  <si>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</si>
  <si>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</si>
  <si>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</si>
  <si>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</si>
  <si>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</si>
  <si>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</si>
  <si>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</si>
  <si>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</si>
  <si>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</si>
  <si>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</si>
  <si>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</si>
  <si>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</si>
  <si>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</si>
  <si>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</si>
  <si>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</si>
  <si>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</si>
  <si>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</si>
  <si>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</si>
  <si>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</si>
  <si>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</si>
  <si>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</si>
  <si>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</si>
  <si>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</si>
  <si>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</si>
  <si>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</si>
  <si>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</si>
  <si>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</si>
  <si>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</si>
  <si>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</si>
  <si>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</si>
  <si>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</si>
  <si>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</si>
  <si>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</si>
  <si>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</si>
  <si>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</si>
  <si>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</si>
  <si>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</si>
  <si>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</si>
  <si>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</si>
  <si>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</si>
  <si>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</si>
  <si>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</si>
  <si>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</si>
  <si>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</si>
  <si>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</si>
  <si>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</si>
  <si>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</si>
  <si>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</si>
  <si>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</si>
  <si>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</si>
  <si>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</si>
  <si>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</si>
  <si>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</si>
  <si>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</si>
  <si>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</si>
  <si>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</si>
  <si>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</si>
  <si>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</si>
  <si>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</si>
  <si>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</si>
  <si>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</si>
  <si>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</si>
  <si>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</si>
  <si>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</si>
  <si>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</si>
  <si>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</si>
  <si>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</si>
  <si>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</si>
  <si>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</si>
  <si>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</si>
  <si>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</si>
  <si>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</si>
  <si>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</si>
  <si>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</si>
  <si>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</si>
  <si>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</si>
  <si>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</si>
  <si>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</si>
  <si>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</si>
  <si>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</si>
  <si>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</si>
  <si>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</si>
  <si>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</si>
  <si>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</si>
  <si>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</si>
  <si>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</si>
  <si>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</si>
  <si>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</si>
  <si>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</si>
  <si>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</si>
  <si>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</si>
  <si>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</si>
  <si>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</si>
  <si>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</si>
  <si>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</si>
  <si>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</si>
  <si>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</si>
  <si>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</si>
  <si>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</si>
  <si>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</si>
  <si>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</si>
  <si>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</si>
  <si>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</si>
  <si>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</si>
  <si>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</si>
  <si>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</si>
  <si>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</si>
  <si>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</si>
  <si>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</si>
  <si>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</si>
  <si>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</si>
  <si>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</si>
  <si>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</si>
  <si>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</si>
  <si>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</si>
  <si>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</si>
  <si>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</si>
  <si>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</si>
  <si>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</si>
  <si>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</si>
  <si>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</si>
  <si>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</si>
  <si>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</si>
  <si>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</si>
  <si>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</si>
  <si>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</si>
  <si>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</si>
  <si>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</si>
  <si>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</si>
  <si>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</si>
  <si>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</si>
  <si>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</si>
  <si>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</si>
  <si>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</si>
  <si>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</si>
  <si>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</si>
  <si>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</si>
  <si>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</si>
  <si>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</si>
  <si>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</si>
  <si>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</si>
  <si>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</si>
  <si>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</si>
  <si>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</si>
  <si>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</si>
  <si>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</si>
  <si>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</si>
  <si>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</si>
  <si>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</si>
  <si>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</si>
  <si>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</si>
  <si>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</si>
  <si>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</si>
  <si>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</si>
  <si>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</si>
  <si>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</si>
  <si>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</si>
  <si>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</si>
  <si>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</si>
  <si>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</si>
  <si>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</si>
  <si>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</si>
  <si>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</si>
  <si>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</si>
  <si>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</si>
  <si>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</si>
  <si>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</si>
  <si>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</si>
  <si>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</si>
  <si>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</si>
  <si>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</si>
  <si>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</si>
  <si>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</si>
  <si>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</si>
  <si>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</si>
  <si>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</si>
  <si>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</si>
  <si>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</si>
  <si>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</si>
  <si>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</si>
  <si>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</si>
  <si>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</si>
  <si>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</si>
  <si>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</si>
  <si>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</si>
  <si>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</si>
  <si>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</si>
  <si>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</si>
  <si>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</si>
  <si>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</si>
  <si>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</si>
  <si>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</si>
  <si>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</si>
  <si>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</si>
  <si>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</si>
  <si>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</si>
  <si>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</si>
  <si>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</si>
  <si>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</si>
  <si>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</si>
  <si>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</si>
  <si>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</si>
  <si>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</si>
  <si>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</si>
  <si>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</si>
  <si>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</si>
  <si>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</si>
  <si>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</si>
  <si>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</si>
  <si>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</si>
  <si>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</si>
  <si>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</si>
  <si>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</si>
  <si>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</si>
  <si>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</si>
  <si>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</si>
  <si>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</si>
  <si>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</si>
  <si>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</si>
  <si>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</si>
  <si>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</si>
  <si>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</si>
  <si>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</si>
  <si>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</si>
  <si>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</si>
  <si>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</si>
  <si>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</si>
  <si>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</si>
  <si>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</si>
  <si>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</si>
  <si>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</si>
  <si>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</si>
  <si>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</si>
  <si>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</si>
  <si>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</si>
  <si>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</si>
  <si>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</si>
  <si>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</si>
  <si>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</si>
  <si>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</si>
  <si>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</si>
  <si>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</si>
  <si>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</si>
  <si>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</si>
  <si>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</si>
  <si>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</si>
  <si>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</si>
  <si>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</si>
  <si>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</si>
  <si>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</si>
  <si>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</si>
  <si>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</si>
  <si>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</si>
  <si>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</si>
  <si>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</si>
  <si>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</si>
  <si>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</si>
  <si>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</si>
  <si>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</si>
  <si>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</si>
  <si>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</si>
  <si>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</si>
  <si>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</si>
  <si>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</si>
  <si>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</si>
  <si>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</si>
  <si>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</si>
  <si>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</si>
  <si>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</si>
  <si>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</si>
  <si>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</si>
  <si>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</si>
  <si>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</si>
  <si>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</si>
  <si>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</si>
  <si>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</si>
  <si>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</si>
  <si>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</si>
  <si>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</si>
  <si>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</si>
  <si>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</si>
  <si>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</si>
  <si>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</si>
  <si>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</si>
  <si>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</si>
  <si>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</si>
  <si>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</si>
  <si>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</si>
  <si>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</si>
  <si>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</si>
  <si>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</si>
  <si>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</si>
  <si>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</si>
  <si>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</si>
  <si>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</si>
  <si>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</si>
  <si>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</si>
  <si>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</si>
  <si>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</si>
  <si>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</si>
  <si>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</si>
  <si>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</si>
  <si>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</si>
  <si>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</si>
  <si>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</si>
  <si>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</si>
  <si>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</si>
  <si>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</si>
  <si>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</si>
  <si>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</si>
  <si>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</si>
  <si>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</si>
  <si>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</si>
  <si>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</si>
  <si>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</si>
  <si>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</si>
  <si>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</si>
  <si>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</si>
  <si>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</si>
  <si>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</si>
  <si>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</si>
  <si>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</si>
  <si>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</si>
  <si>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</si>
  <si>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</si>
  <si>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</si>
  <si>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</si>
  <si>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</si>
  <si>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</si>
  <si>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</si>
  <si>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</si>
  <si>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</si>
  <si>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</si>
  <si>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</si>
  <si>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</si>
  <si>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</si>
  <si>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</si>
  <si>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</si>
  <si>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</si>
  <si>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</si>
  <si>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</si>
  <si>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</si>
  <si>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</si>
  <si>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</si>
  <si>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</si>
  <si>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</si>
  <si>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</si>
  <si>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</si>
  <si>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</si>
  <si>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</si>
  <si>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</si>
  <si>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</si>
  <si>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</si>
  <si>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</si>
  <si>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</si>
  <si>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</si>
  <si>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</si>
  <si>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</si>
  <si>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</si>
  <si>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</si>
  <si>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</si>
  <si>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</si>
  <si>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</si>
  <si>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</si>
  <si>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</si>
  <si>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</si>
  <si>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</si>
  <si>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</si>
  <si>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</si>
  <si>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</si>
  <si>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</si>
  <si>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</si>
  <si>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</si>
  <si>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</si>
  <si>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</si>
  <si>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</si>
  <si>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</si>
  <si>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</si>
  <si>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</si>
  <si>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</si>
  <si>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</si>
  <si>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</si>
  <si>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</si>
  <si>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</si>
  <si>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</si>
  <si>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</si>
  <si>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</si>
  <si>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</si>
  <si>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</si>
  <si>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</si>
  <si>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</si>
  <si>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</si>
  <si>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</si>
  <si>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</si>
  <si>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</si>
  <si>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</si>
  <si>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</si>
  <si>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</si>
  <si>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</si>
  <si>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</si>
  <si>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</si>
  <si>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</si>
  <si>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</si>
  <si>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</si>
  <si>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</si>
  <si>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</si>
  <si>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</si>
  <si>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</si>
  <si>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</si>
  <si>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</si>
  <si>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</si>
  <si>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</si>
  <si>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</si>
  <si>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</si>
  <si>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</si>
  <si>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</si>
  <si>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</si>
  <si>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</si>
  <si>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</si>
  <si>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</si>
  <si>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</si>
  <si>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</si>
  <si>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</si>
  <si>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</si>
  <si>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</si>
  <si>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</si>
  <si>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</si>
  <si>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</si>
  <si>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</si>
  <si>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</si>
  <si>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</si>
  <si>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</si>
  <si>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</si>
  <si>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</si>
  <si>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</si>
  <si>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</si>
  <si>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</si>
  <si>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34023</t>
  </si>
  <si>
    <t>KUURNE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</si>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</sst>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97777.692978534847</c:v>
                </c:pt>
                <c:pt idx="1">
                  <c:v>42728.514510774818</c:v>
                </c:pt>
                <c:pt idx="2">
                  <c:v>872.61900000000003</c:v>
                </c:pt>
                <c:pt idx="3">
                  <c:v>735.38668758045083</c:v>
                </c:pt>
                <c:pt idx="4">
                  <c:v>50898.25565154598</c:v>
                </c:pt>
                <c:pt idx="5">
                  <c:v>55885.334547226696</c:v>
                </c:pt>
                <c:pt idx="6">
                  <c:v>1057.8261260257168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97777.692978534847</c:v>
                </c:pt>
                <c:pt idx="1">
                  <c:v>42728.514510774818</c:v>
                </c:pt>
                <c:pt idx="2">
                  <c:v>872.61900000000003</c:v>
                </c:pt>
                <c:pt idx="3">
                  <c:v>735.38668758045083</c:v>
                </c:pt>
                <c:pt idx="4">
                  <c:v>50898.25565154598</c:v>
                </c:pt>
                <c:pt idx="5">
                  <c:v>55885.334547226696</c:v>
                </c:pt>
                <c:pt idx="6">
                  <c:v>1057.8261260257168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18235.670719822705</c:v>
                </c:pt>
                <c:pt idx="2">
                  <c:v>8652.5858918868871</c:v>
                </c:pt>
                <c:pt idx="3">
                  <c:v>175.45420882145783</c:v>
                </c:pt>
                <c:pt idx="4">
                  <c:v>183.60282774040562</c:v>
                </c:pt>
                <c:pt idx="5">
                  <c:v>10425.297092456869</c:v>
                </c:pt>
                <c:pt idx="6">
                  <c:v>14006.154215519498</c:v>
                </c:pt>
                <c:pt idx="7">
                  <c:v>267.16900831783721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18235.670719822705</c:v>
                </c:pt>
                <c:pt idx="2">
                  <c:v>8652.5858918868871</c:v>
                </c:pt>
                <c:pt idx="3">
                  <c:v>175.45420882145783</c:v>
                </c:pt>
                <c:pt idx="4">
                  <c:v>183.60282774040562</c:v>
                </c:pt>
                <c:pt idx="5">
                  <c:v>10425.297092456869</c:v>
                </c:pt>
                <c:pt idx="6">
                  <c:v>14006.154215519498</c:v>
                </c:pt>
                <c:pt idx="7">
                  <c:v>267.16900831783721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34023</v>
      </c>
      <c r="B6" s="391"/>
      <c r="C6" s="392"/>
    </row>
    <row r="7" spans="1:7" s="389" customFormat="1" ht="15.75" customHeight="1">
      <c r="A7" s="393" t="str">
        <f>txtMunicipality</f>
        <v>KUURNE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21110.262299999999</v>
      </c>
      <c r="D10" s="991">
        <f ca="1">tertiair!C16</f>
        <v>0</v>
      </c>
      <c r="E10" s="991">
        <f ca="1">tertiair!D16</f>
        <v>18718.67091202864</v>
      </c>
      <c r="F10" s="991">
        <f>tertiair!E16</f>
        <v>210.12828533698467</v>
      </c>
      <c r="G10" s="991">
        <f ca="1">tertiair!F16</f>
        <v>2826.249779360845</v>
      </c>
      <c r="H10" s="991">
        <f>tertiair!G16</f>
        <v>0</v>
      </c>
      <c r="I10" s="991">
        <f>tertiair!H16</f>
        <v>0</v>
      </c>
      <c r="J10" s="991">
        <f>tertiair!I16</f>
        <v>0</v>
      </c>
      <c r="K10" s="991">
        <f>tertiair!J16</f>
        <v>0</v>
      </c>
      <c r="L10" s="991">
        <f>tertiair!K16</f>
        <v>0</v>
      </c>
      <c r="M10" s="991">
        <f ca="1">tertiair!L16</f>
        <v>0</v>
      </c>
      <c r="N10" s="991">
        <f>tertiair!M16</f>
        <v>0</v>
      </c>
      <c r="O10" s="991">
        <f ca="1">tertiair!N16</f>
        <v>694.56223404836169</v>
      </c>
      <c r="P10" s="991">
        <f>tertiair!O16</f>
        <v>3.1266666666666669</v>
      </c>
      <c r="Q10" s="992">
        <f>tertiair!P16</f>
        <v>38.133333333333333</v>
      </c>
      <c r="R10" s="675">
        <f ca="1">SUM(C10:Q10)</f>
        <v>43601.133510774824</v>
      </c>
      <c r="S10" s="67"/>
    </row>
    <row r="11" spans="1:19" s="448" customFormat="1">
      <c r="A11" s="784" t="s">
        <v>224</v>
      </c>
      <c r="B11" s="789"/>
      <c r="C11" s="991">
        <f>huishoudens!B8</f>
        <v>20496.323512434246</v>
      </c>
      <c r="D11" s="991">
        <f>huishoudens!C8</f>
        <v>0</v>
      </c>
      <c r="E11" s="991">
        <f>huishoudens!D8</f>
        <v>53666.616065786802</v>
      </c>
      <c r="F11" s="991">
        <f>huishoudens!E8</f>
        <v>14422.448743413835</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8840.3079902332993</v>
      </c>
      <c r="P11" s="991">
        <f>huishoudens!O8</f>
        <v>142.26333333333332</v>
      </c>
      <c r="Q11" s="992">
        <f>huishoudens!P8</f>
        <v>209.73333333333335</v>
      </c>
      <c r="R11" s="675">
        <f>SUM(C11:Q11)</f>
        <v>97777.692978534847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20480.170689999999</v>
      </c>
      <c r="D13" s="991">
        <f>industrie!C18</f>
        <v>0</v>
      </c>
      <c r="E13" s="991">
        <f>industrie!D18</f>
        <v>21744.837917149969</v>
      </c>
      <c r="F13" s="991">
        <f>industrie!E18</f>
        <v>1133.3797931808158</v>
      </c>
      <c r="G13" s="991">
        <f>industrie!F18</f>
        <v>6107.0315777997039</v>
      </c>
      <c r="H13" s="991">
        <f>industrie!G18</f>
        <v>0</v>
      </c>
      <c r="I13" s="991">
        <f>industrie!H18</f>
        <v>0</v>
      </c>
      <c r="J13" s="991">
        <f>industrie!I18</f>
        <v>0</v>
      </c>
      <c r="K13" s="991">
        <f>industrie!J18</f>
        <v>76.594819578409272</v>
      </c>
      <c r="L13" s="991">
        <f>industrie!K18</f>
        <v>0</v>
      </c>
      <c r="M13" s="991">
        <f>industrie!L18</f>
        <v>0</v>
      </c>
      <c r="N13" s="991">
        <f>industrie!M18</f>
        <v>0</v>
      </c>
      <c r="O13" s="991">
        <f>industrie!N18</f>
        <v>1356.2408538370853</v>
      </c>
      <c r="P13" s="991">
        <f>industrie!O18</f>
        <v>0</v>
      </c>
      <c r="Q13" s="992">
        <f>industrie!P18</f>
        <v>0</v>
      </c>
      <c r="R13" s="675">
        <f>SUM(C13:Q13)</f>
        <v>50898.25565154598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62086.756502434248</v>
      </c>
      <c r="D16" s="707">
        <f t="shared" ref="D16:R16" ca="1" si="0">SUM(D9:D15)</f>
        <v>0</v>
      </c>
      <c r="E16" s="707">
        <f t="shared" ca="1" si="0"/>
        <v>94130.124894965411</v>
      </c>
      <c r="F16" s="707">
        <f t="shared" si="0"/>
        <v>15765.956821931635</v>
      </c>
      <c r="G16" s="707">
        <f t="shared" ca="1" si="0"/>
        <v>8933.2813571605493</v>
      </c>
      <c r="H16" s="707">
        <f t="shared" si="0"/>
        <v>0</v>
      </c>
      <c r="I16" s="707">
        <f t="shared" si="0"/>
        <v>0</v>
      </c>
      <c r="J16" s="707">
        <f t="shared" si="0"/>
        <v>0</v>
      </c>
      <c r="K16" s="707">
        <f t="shared" si="0"/>
        <v>76.594819578409272</v>
      </c>
      <c r="L16" s="707">
        <f t="shared" si="0"/>
        <v>0</v>
      </c>
      <c r="M16" s="707">
        <f t="shared" ca="1" si="0"/>
        <v>0</v>
      </c>
      <c r="N16" s="707">
        <f t="shared" si="0"/>
        <v>0</v>
      </c>
      <c r="O16" s="707">
        <f t="shared" ca="1" si="0"/>
        <v>10891.111078118747</v>
      </c>
      <c r="P16" s="707">
        <f t="shared" si="0"/>
        <v>145.38999999999999</v>
      </c>
      <c r="Q16" s="707">
        <f t="shared" si="0"/>
        <v>247.86666666666667</v>
      </c>
      <c r="R16" s="707">
        <f t="shared" ca="1" si="0"/>
        <v>192277.08214085564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1000.6329899544464</v>
      </c>
      <c r="I19" s="991">
        <f>transport!H54</f>
        <v>0</v>
      </c>
      <c r="J19" s="991">
        <f>transport!I54</f>
        <v>0</v>
      </c>
      <c r="K19" s="991">
        <f>transport!J54</f>
        <v>0</v>
      </c>
      <c r="L19" s="991">
        <f>transport!K54</f>
        <v>0</v>
      </c>
      <c r="M19" s="991">
        <f>transport!L54</f>
        <v>0</v>
      </c>
      <c r="N19" s="991">
        <f>transport!M54</f>
        <v>57.193136071270317</v>
      </c>
      <c r="O19" s="991">
        <f>transport!N54</f>
        <v>0</v>
      </c>
      <c r="P19" s="991">
        <f>transport!O54</f>
        <v>0</v>
      </c>
      <c r="Q19" s="992">
        <f>transport!P54</f>
        <v>0</v>
      </c>
      <c r="R19" s="675">
        <f>SUM(C19:Q19)</f>
        <v>1057.8261260257168</v>
      </c>
      <c r="S19" s="67"/>
    </row>
    <row r="20" spans="1:19" s="448" customFormat="1">
      <c r="A20" s="784" t="s">
        <v>306</v>
      </c>
      <c r="B20" s="789"/>
      <c r="C20" s="991">
        <f>transport!B14</f>
        <v>6.2661680752695688</v>
      </c>
      <c r="D20" s="991">
        <f>transport!C14</f>
        <v>0</v>
      </c>
      <c r="E20" s="991">
        <f>transport!D14</f>
        <v>14.001337412508931</v>
      </c>
      <c r="F20" s="991">
        <f>transport!E14</f>
        <v>131.77929288488636</v>
      </c>
      <c r="G20" s="991">
        <f>transport!F14</f>
        <v>0</v>
      </c>
      <c r="H20" s="991">
        <f>transport!G14</f>
        <v>44478.663154295027</v>
      </c>
      <c r="I20" s="991">
        <f>transport!H14</f>
        <v>8419.0725659273394</v>
      </c>
      <c r="J20" s="991">
        <f>transport!I14</f>
        <v>0</v>
      </c>
      <c r="K20" s="991">
        <f>transport!J14</f>
        <v>0</v>
      </c>
      <c r="L20" s="991">
        <f>transport!K14</f>
        <v>0</v>
      </c>
      <c r="M20" s="991">
        <f>transport!L14</f>
        <v>0</v>
      </c>
      <c r="N20" s="991">
        <f>transport!M14</f>
        <v>2835.5520286316682</v>
      </c>
      <c r="O20" s="991">
        <f>transport!N14</f>
        <v>0</v>
      </c>
      <c r="P20" s="991">
        <f>transport!O14</f>
        <v>0</v>
      </c>
      <c r="Q20" s="992">
        <f>transport!P14</f>
        <v>0</v>
      </c>
      <c r="R20" s="675">
        <f>SUM(C20:Q20)</f>
        <v>55885.334547226696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6.2661680752695688</v>
      </c>
      <c r="D22" s="787">
        <f t="shared" ref="D22:R22" si="1">SUM(D18:D21)</f>
        <v>0</v>
      </c>
      <c r="E22" s="787">
        <f t="shared" si="1"/>
        <v>14.001337412508931</v>
      </c>
      <c r="F22" s="787">
        <f t="shared" si="1"/>
        <v>131.77929288488636</v>
      </c>
      <c r="G22" s="787">
        <f t="shared" si="1"/>
        <v>0</v>
      </c>
      <c r="H22" s="787">
        <f t="shared" si="1"/>
        <v>45479.296144249471</v>
      </c>
      <c r="I22" s="787">
        <f t="shared" si="1"/>
        <v>8419.0725659273394</v>
      </c>
      <c r="J22" s="787">
        <f t="shared" si="1"/>
        <v>0</v>
      </c>
      <c r="K22" s="787">
        <f t="shared" si="1"/>
        <v>0</v>
      </c>
      <c r="L22" s="787">
        <f t="shared" si="1"/>
        <v>0</v>
      </c>
      <c r="M22" s="787">
        <f t="shared" si="1"/>
        <v>0</v>
      </c>
      <c r="N22" s="787">
        <f t="shared" si="1"/>
        <v>2892.7451647029384</v>
      </c>
      <c r="O22" s="787">
        <f t="shared" si="1"/>
        <v>0</v>
      </c>
      <c r="P22" s="787">
        <f t="shared" si="1"/>
        <v>0</v>
      </c>
      <c r="Q22" s="787">
        <f t="shared" si="1"/>
        <v>0</v>
      </c>
      <c r="R22" s="787">
        <f t="shared" si="1"/>
        <v>56943.160673252409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186.94007999999999</v>
      </c>
      <c r="D24" s="991">
        <f>+landbouw!C8</f>
        <v>0</v>
      </c>
      <c r="E24" s="991">
        <f>+landbouw!D8</f>
        <v>43.752494731712041</v>
      </c>
      <c r="F24" s="991">
        <f>+landbouw!E8</f>
        <v>1.731517318662779</v>
      </c>
      <c r="G24" s="991">
        <f>+landbouw!F8</f>
        <v>474.3025950086942</v>
      </c>
      <c r="H24" s="991">
        <f>+landbouw!G8</f>
        <v>0</v>
      </c>
      <c r="I24" s="991">
        <f>+landbouw!H8</f>
        <v>0</v>
      </c>
      <c r="J24" s="991">
        <f>+landbouw!I8</f>
        <v>0</v>
      </c>
      <c r="K24" s="991">
        <f>+landbouw!J8</f>
        <v>28.66000052138174</v>
      </c>
      <c r="L24" s="991">
        <f>+landbouw!K8</f>
        <v>0</v>
      </c>
      <c r="M24" s="991">
        <f>+landbouw!L8</f>
        <v>0</v>
      </c>
      <c r="N24" s="991">
        <f>+landbouw!M8</f>
        <v>0</v>
      </c>
      <c r="O24" s="991">
        <f>+landbouw!N8</f>
        <v>0</v>
      </c>
      <c r="P24" s="991">
        <f>+landbouw!O8</f>
        <v>0</v>
      </c>
      <c r="Q24" s="992">
        <f>+landbouw!P8</f>
        <v>0</v>
      </c>
      <c r="R24" s="675">
        <f>SUM(C24:Q24)</f>
        <v>735.38668758045083</v>
      </c>
      <c r="S24" s="67"/>
    </row>
    <row r="25" spans="1:19" s="448" customFormat="1" ht="15" thickBot="1">
      <c r="A25" s="806" t="s">
        <v>849</v>
      </c>
      <c r="B25" s="994"/>
      <c r="C25" s="995">
        <f>IF(Onbekend_ele_kWh="---",0,Onbekend_ele_kWh)/1000+IF(REST_rest_ele_kWh="---",0,REST_rest_ele_kWh)/1000</f>
        <v>717.34759999999994</v>
      </c>
      <c r="D25" s="995"/>
      <c r="E25" s="995">
        <f>IF(onbekend_gas_kWh="---",0,onbekend_gas_kWh)/1000+IF(REST_rest_gas_kWh="---",0,REST_rest_gas_kWh)/1000</f>
        <v>6899.1779081063996</v>
      </c>
      <c r="F25" s="995"/>
      <c r="G25" s="995"/>
      <c r="H25" s="995"/>
      <c r="I25" s="995"/>
      <c r="J25" s="995"/>
      <c r="K25" s="995"/>
      <c r="L25" s="995"/>
      <c r="M25" s="995"/>
      <c r="N25" s="995"/>
      <c r="O25" s="995"/>
      <c r="P25" s="995"/>
      <c r="Q25" s="996"/>
      <c r="R25" s="675">
        <f>SUM(C25:Q25)</f>
        <v>7616.5255081063997</v>
      </c>
      <c r="S25" s="67"/>
    </row>
    <row r="26" spans="1:19" s="448" customFormat="1" ht="15.75" thickBot="1">
      <c r="A26" s="680" t="s">
        <v>850</v>
      </c>
      <c r="B26" s="792"/>
      <c r="C26" s="787">
        <f>SUM(C24:C25)</f>
        <v>904.28767999999991</v>
      </c>
      <c r="D26" s="787">
        <f t="shared" ref="D26:R26" si="2">SUM(D24:D25)</f>
        <v>0</v>
      </c>
      <c r="E26" s="787">
        <f t="shared" si="2"/>
        <v>6942.9304028381121</v>
      </c>
      <c r="F26" s="787">
        <f t="shared" si="2"/>
        <v>1.731517318662779</v>
      </c>
      <c r="G26" s="787">
        <f t="shared" si="2"/>
        <v>474.3025950086942</v>
      </c>
      <c r="H26" s="787">
        <f t="shared" si="2"/>
        <v>0</v>
      </c>
      <c r="I26" s="787">
        <f t="shared" si="2"/>
        <v>0</v>
      </c>
      <c r="J26" s="787">
        <f t="shared" si="2"/>
        <v>0</v>
      </c>
      <c r="K26" s="787">
        <f t="shared" si="2"/>
        <v>28.66000052138174</v>
      </c>
      <c r="L26" s="787">
        <f t="shared" si="2"/>
        <v>0</v>
      </c>
      <c r="M26" s="787">
        <f t="shared" si="2"/>
        <v>0</v>
      </c>
      <c r="N26" s="787">
        <f t="shared" si="2"/>
        <v>0</v>
      </c>
      <c r="O26" s="787">
        <f t="shared" si="2"/>
        <v>0</v>
      </c>
      <c r="P26" s="787">
        <f t="shared" si="2"/>
        <v>0</v>
      </c>
      <c r="Q26" s="787">
        <f t="shared" si="2"/>
        <v>0</v>
      </c>
      <c r="R26" s="787">
        <f t="shared" si="2"/>
        <v>8351.9121956868512</v>
      </c>
      <c r="S26" s="67"/>
    </row>
    <row r="27" spans="1:19" s="448" customFormat="1" ht="17.25" thickTop="1" thickBot="1">
      <c r="A27" s="681" t="s">
        <v>115</v>
      </c>
      <c r="B27" s="780"/>
      <c r="C27" s="682">
        <f ca="1">C22+C16+C26</f>
        <v>62997.310350509521</v>
      </c>
      <c r="D27" s="682">
        <f t="shared" ref="D27:R27" ca="1" si="3">D22+D16+D26</f>
        <v>0</v>
      </c>
      <c r="E27" s="682">
        <f t="shared" ca="1" si="3"/>
        <v>101087.05663521604</v>
      </c>
      <c r="F27" s="682">
        <f t="shared" si="3"/>
        <v>15899.467632135185</v>
      </c>
      <c r="G27" s="682">
        <f t="shared" ca="1" si="3"/>
        <v>9407.5839521692433</v>
      </c>
      <c r="H27" s="682">
        <f t="shared" si="3"/>
        <v>45479.296144249471</v>
      </c>
      <c r="I27" s="682">
        <f t="shared" si="3"/>
        <v>8419.0725659273394</v>
      </c>
      <c r="J27" s="682">
        <f t="shared" si="3"/>
        <v>0</v>
      </c>
      <c r="K27" s="682">
        <f t="shared" si="3"/>
        <v>105.254820099791</v>
      </c>
      <c r="L27" s="682">
        <f t="shared" si="3"/>
        <v>0</v>
      </c>
      <c r="M27" s="682">
        <f t="shared" ca="1" si="3"/>
        <v>0</v>
      </c>
      <c r="N27" s="682">
        <f t="shared" si="3"/>
        <v>2892.7451647029384</v>
      </c>
      <c r="O27" s="682">
        <f t="shared" ca="1" si="3"/>
        <v>10891.111078118747</v>
      </c>
      <c r="P27" s="682">
        <f t="shared" si="3"/>
        <v>145.38999999999999</v>
      </c>
      <c r="Q27" s="682">
        <f t="shared" si="3"/>
        <v>247.86666666666667</v>
      </c>
      <c r="R27" s="682">
        <f t="shared" ca="1" si="3"/>
        <v>257572.15500979489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4244.5607646177177</v>
      </c>
      <c r="D40" s="991">
        <f ca="1">tertiair!C20</f>
        <v>0</v>
      </c>
      <c r="E40" s="991">
        <f ca="1">tertiair!D20</f>
        <v>3781.1715242297855</v>
      </c>
      <c r="F40" s="991">
        <f>tertiair!E20</f>
        <v>47.699120771495522</v>
      </c>
      <c r="G40" s="991">
        <f ca="1">tertiair!F20</f>
        <v>754.6086910893456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8828.0401007083437</v>
      </c>
    </row>
    <row r="41" spans="1:18">
      <c r="A41" s="797" t="s">
        <v>224</v>
      </c>
      <c r="B41" s="804"/>
      <c r="C41" s="991">
        <f ca="1">huishoudens!B12</f>
        <v>4121.1184097788309</v>
      </c>
      <c r="D41" s="991">
        <f ca="1">huishoudens!C12</f>
        <v>0</v>
      </c>
      <c r="E41" s="991">
        <f>huishoudens!D12</f>
        <v>10840.656445288934</v>
      </c>
      <c r="F41" s="991">
        <f>huishoudens!E12</f>
        <v>3273.8958647549407</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18235.670719822705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4117.8706227372541</v>
      </c>
      <c r="D43" s="991">
        <f ca="1">industrie!C22</f>
        <v>0</v>
      </c>
      <c r="E43" s="991">
        <f>industrie!D22</f>
        <v>4392.4572592642944</v>
      </c>
      <c r="F43" s="991">
        <f>industrie!E22</f>
        <v>257.27721305204517</v>
      </c>
      <c r="G43" s="991">
        <f>industrie!F22</f>
        <v>1630.5774312725209</v>
      </c>
      <c r="H43" s="991">
        <f>industrie!G22</f>
        <v>0</v>
      </c>
      <c r="I43" s="991">
        <f>industrie!H22</f>
        <v>0</v>
      </c>
      <c r="J43" s="991">
        <f>industrie!I22</f>
        <v>0</v>
      </c>
      <c r="K43" s="991">
        <f>industrie!J22</f>
        <v>27.114566130756881</v>
      </c>
      <c r="L43" s="991">
        <f>industrie!K22</f>
        <v>0</v>
      </c>
      <c r="M43" s="991">
        <f>industrie!L22</f>
        <v>0</v>
      </c>
      <c r="N43" s="991">
        <f>industrie!M22</f>
        <v>0</v>
      </c>
      <c r="O43" s="991">
        <f>industrie!N22</f>
        <v>0</v>
      </c>
      <c r="P43" s="991">
        <f>industrie!O22</f>
        <v>0</v>
      </c>
      <c r="Q43" s="749">
        <f>industrie!P22</f>
        <v>0</v>
      </c>
      <c r="R43" s="824">
        <f t="shared" ca="1" si="4"/>
        <v>10425.297092456869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12483.549797133801</v>
      </c>
      <c r="D46" s="707">
        <f t="shared" ref="D46:Q46" ca="1" si="5">SUM(D39:D45)</f>
        <v>0</v>
      </c>
      <c r="E46" s="707">
        <f t="shared" ca="1" si="5"/>
        <v>19014.285228783014</v>
      </c>
      <c r="F46" s="707">
        <f t="shared" si="5"/>
        <v>3578.8721985784814</v>
      </c>
      <c r="G46" s="707">
        <f t="shared" ca="1" si="5"/>
        <v>2385.1861223618666</v>
      </c>
      <c r="H46" s="707">
        <f t="shared" si="5"/>
        <v>0</v>
      </c>
      <c r="I46" s="707">
        <f t="shared" si="5"/>
        <v>0</v>
      </c>
      <c r="J46" s="707">
        <f t="shared" si="5"/>
        <v>0</v>
      </c>
      <c r="K46" s="707">
        <f t="shared" si="5"/>
        <v>27.114566130756881</v>
      </c>
      <c r="L46" s="707">
        <f t="shared" si="5"/>
        <v>0</v>
      </c>
      <c r="M46" s="707">
        <f t="shared" ca="1" si="5"/>
        <v>0</v>
      </c>
      <c r="N46" s="707">
        <f t="shared" si="5"/>
        <v>0</v>
      </c>
      <c r="O46" s="707">
        <f t="shared" ca="1" si="5"/>
        <v>0</v>
      </c>
      <c r="P46" s="707">
        <f t="shared" si="5"/>
        <v>0</v>
      </c>
      <c r="Q46" s="707">
        <f t="shared" si="5"/>
        <v>0</v>
      </c>
      <c r="R46" s="707">
        <f ca="1">SUM(R39:R45)</f>
        <v>37489.007912987916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267.16900831783721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267.16900831783721</v>
      </c>
    </row>
    <row r="50" spans="1:18">
      <c r="A50" s="800" t="s">
        <v>306</v>
      </c>
      <c r="B50" s="810"/>
      <c r="C50" s="678">
        <f ca="1">transport!B18</f>
        <v>1.2599147646208704</v>
      </c>
      <c r="D50" s="678">
        <f>transport!C18</f>
        <v>0</v>
      </c>
      <c r="E50" s="678">
        <f>transport!D18</f>
        <v>2.8282701573268043</v>
      </c>
      <c r="F50" s="678">
        <f>transport!E18</f>
        <v>29.913899484869205</v>
      </c>
      <c r="G50" s="678">
        <f>transport!F18</f>
        <v>0</v>
      </c>
      <c r="H50" s="678">
        <f>transport!G18</f>
        <v>11875.803062196774</v>
      </c>
      <c r="I50" s="678">
        <f>transport!H18</f>
        <v>2096.3490689159075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14006.154215519498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1.2599147646208704</v>
      </c>
      <c r="D52" s="707">
        <f t="shared" ref="D52:Q52" ca="1" si="6">SUM(D48:D51)</f>
        <v>0</v>
      </c>
      <c r="E52" s="707">
        <f t="shared" si="6"/>
        <v>2.8282701573268043</v>
      </c>
      <c r="F52" s="707">
        <f t="shared" si="6"/>
        <v>29.913899484869205</v>
      </c>
      <c r="G52" s="707">
        <f t="shared" si="6"/>
        <v>0</v>
      </c>
      <c r="H52" s="707">
        <f t="shared" si="6"/>
        <v>12142.97207051461</v>
      </c>
      <c r="I52" s="707">
        <f t="shared" si="6"/>
        <v>2096.3490689159075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14273.323223837335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37.587336321372817</v>
      </c>
      <c r="D54" s="678">
        <f ca="1">+landbouw!C12</f>
        <v>0</v>
      </c>
      <c r="E54" s="678">
        <f>+landbouw!D12</f>
        <v>8.8380039358058333</v>
      </c>
      <c r="F54" s="678">
        <f>+landbouw!E12</f>
        <v>0.39305443133645085</v>
      </c>
      <c r="G54" s="678">
        <f>+landbouw!F12</f>
        <v>126.63879286732136</v>
      </c>
      <c r="H54" s="678">
        <f>+landbouw!G12</f>
        <v>0</v>
      </c>
      <c r="I54" s="678">
        <f>+landbouw!H12</f>
        <v>0</v>
      </c>
      <c r="J54" s="678">
        <f>+landbouw!I12</f>
        <v>0</v>
      </c>
      <c r="K54" s="678">
        <f>+landbouw!J12</f>
        <v>10.145640184569135</v>
      </c>
      <c r="L54" s="678">
        <f>+landbouw!K12</f>
        <v>0</v>
      </c>
      <c r="M54" s="678">
        <f>+landbouw!L12</f>
        <v>0</v>
      </c>
      <c r="N54" s="678">
        <f>+landbouw!M12</f>
        <v>0</v>
      </c>
      <c r="O54" s="678">
        <f>+landbouw!N12</f>
        <v>0</v>
      </c>
      <c r="P54" s="678">
        <f>+landbouw!O12</f>
        <v>0</v>
      </c>
      <c r="Q54" s="679">
        <f>+landbouw!P12</f>
        <v>0</v>
      </c>
      <c r="R54" s="706">
        <f ca="1">SUM(C54:Q54)</f>
        <v>183.60282774040562</v>
      </c>
    </row>
    <row r="55" spans="1:18" ht="15" thickBot="1">
      <c r="A55" s="800" t="s">
        <v>849</v>
      </c>
      <c r="B55" s="810"/>
      <c r="C55" s="678">
        <f ca="1">C25*'EF ele_warmte'!B12</f>
        <v>144.23437446121571</v>
      </c>
      <c r="D55" s="678"/>
      <c r="E55" s="678">
        <f>E25*EF_CO2_aardgas</f>
        <v>1393.6339374374927</v>
      </c>
      <c r="F55" s="678"/>
      <c r="G55" s="678"/>
      <c r="H55" s="678"/>
      <c r="I55" s="678"/>
      <c r="J55" s="678"/>
      <c r="K55" s="678"/>
      <c r="L55" s="678"/>
      <c r="M55" s="678"/>
      <c r="N55" s="678"/>
      <c r="O55" s="678"/>
      <c r="P55" s="678"/>
      <c r="Q55" s="679"/>
      <c r="R55" s="706">
        <f ca="1">SUM(C55:Q55)</f>
        <v>1537.8683118987085</v>
      </c>
    </row>
    <row r="56" spans="1:18" ht="15.75" thickBot="1">
      <c r="A56" s="798" t="s">
        <v>850</v>
      </c>
      <c r="B56" s="811"/>
      <c r="C56" s="707">
        <f ca="1">SUM(C54:C55)</f>
        <v>181.82171078258853</v>
      </c>
      <c r="D56" s="707">
        <f t="shared" ref="D56:Q56" ca="1" si="7">SUM(D54:D55)</f>
        <v>0</v>
      </c>
      <c r="E56" s="707">
        <f t="shared" si="7"/>
        <v>1402.4719413732985</v>
      </c>
      <c r="F56" s="707">
        <f t="shared" si="7"/>
        <v>0.39305443133645085</v>
      </c>
      <c r="G56" s="707">
        <f t="shared" si="7"/>
        <v>126.63879286732136</v>
      </c>
      <c r="H56" s="707">
        <f t="shared" si="7"/>
        <v>0</v>
      </c>
      <c r="I56" s="707">
        <f t="shared" si="7"/>
        <v>0</v>
      </c>
      <c r="J56" s="707">
        <f t="shared" si="7"/>
        <v>0</v>
      </c>
      <c r="K56" s="707">
        <f t="shared" si="7"/>
        <v>10.145640184569135</v>
      </c>
      <c r="L56" s="707">
        <f t="shared" si="7"/>
        <v>0</v>
      </c>
      <c r="M56" s="707">
        <f t="shared" si="7"/>
        <v>0</v>
      </c>
      <c r="N56" s="707">
        <f t="shared" si="7"/>
        <v>0</v>
      </c>
      <c r="O56" s="707">
        <f t="shared" si="7"/>
        <v>0</v>
      </c>
      <c r="P56" s="707">
        <f t="shared" si="7"/>
        <v>0</v>
      </c>
      <c r="Q56" s="708">
        <f t="shared" si="7"/>
        <v>0</v>
      </c>
      <c r="R56" s="709">
        <f ca="1">SUM(R54:R55)</f>
        <v>1721.4711396391142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12666.63142268101</v>
      </c>
      <c r="D61" s="715">
        <f t="shared" ref="D61:Q61" ca="1" si="8">D46+D52+D56</f>
        <v>0</v>
      </c>
      <c r="E61" s="715">
        <f t="shared" ca="1" si="8"/>
        <v>20419.58544031364</v>
      </c>
      <c r="F61" s="715">
        <f t="shared" si="8"/>
        <v>3609.1791524946871</v>
      </c>
      <c r="G61" s="715">
        <f t="shared" ca="1" si="8"/>
        <v>2511.8249152291878</v>
      </c>
      <c r="H61" s="715">
        <f t="shared" si="8"/>
        <v>12142.97207051461</v>
      </c>
      <c r="I61" s="715">
        <f t="shared" si="8"/>
        <v>2096.3490689159075</v>
      </c>
      <c r="J61" s="715">
        <f t="shared" si="8"/>
        <v>0</v>
      </c>
      <c r="K61" s="715">
        <f t="shared" si="8"/>
        <v>37.260206315326016</v>
      </c>
      <c r="L61" s="715">
        <f t="shared" si="8"/>
        <v>0</v>
      </c>
      <c r="M61" s="715">
        <f t="shared" ca="1" si="8"/>
        <v>0</v>
      </c>
      <c r="N61" s="715">
        <f t="shared" si="8"/>
        <v>0</v>
      </c>
      <c r="O61" s="715">
        <f t="shared" ca="1" si="8"/>
        <v>0</v>
      </c>
      <c r="P61" s="715">
        <f t="shared" si="8"/>
        <v>0</v>
      </c>
      <c r="Q61" s="715">
        <f t="shared" si="8"/>
        <v>0</v>
      </c>
      <c r="R61" s="715">
        <f ca="1">R46+R52+R56</f>
        <v>53483.802276464361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0.20106622571988206</v>
      </c>
      <c r="D63" s="756">
        <f t="shared" ca="1" si="9"/>
        <v>0</v>
      </c>
      <c r="E63" s="1002">
        <f t="shared" ca="1" si="9"/>
        <v>0.20200000000000001</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5682.2360397357024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5682.2360397357024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20496.323512434246</v>
      </c>
      <c r="C4" s="452">
        <f>huishoudens!C8</f>
        <v>0</v>
      </c>
      <c r="D4" s="452">
        <f>huishoudens!D8</f>
        <v>53666.616065786802</v>
      </c>
      <c r="E4" s="452">
        <f>huishoudens!E8</f>
        <v>14422.448743413835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8840.3079902332993</v>
      </c>
      <c r="O4" s="452">
        <f>huishoudens!O8</f>
        <v>142.26333333333332</v>
      </c>
      <c r="P4" s="453">
        <f>huishoudens!P8</f>
        <v>209.73333333333335</v>
      </c>
      <c r="Q4" s="454">
        <f>SUM(B4:P4)</f>
        <v>97777.692978534847</v>
      </c>
    </row>
    <row r="5" spans="1:17">
      <c r="A5" s="451" t="s">
        <v>155</v>
      </c>
      <c r="B5" s="452">
        <f ca="1">tertiair!B16</f>
        <v>20237.6433</v>
      </c>
      <c r="C5" s="452">
        <f ca="1">tertiair!C16</f>
        <v>0</v>
      </c>
      <c r="D5" s="452">
        <f ca="1">tertiair!D16</f>
        <v>18718.67091202864</v>
      </c>
      <c r="E5" s="452">
        <f>tertiair!E16</f>
        <v>210.12828533698467</v>
      </c>
      <c r="F5" s="452">
        <f ca="1">tertiair!F16</f>
        <v>2826.249779360845</v>
      </c>
      <c r="G5" s="452">
        <f>tertiair!G16</f>
        <v>0</v>
      </c>
      <c r="H5" s="452">
        <f>tertiair!H16</f>
        <v>0</v>
      </c>
      <c r="I5" s="452">
        <f>tertiair!I16</f>
        <v>0</v>
      </c>
      <c r="J5" s="452">
        <f>tertiair!J16</f>
        <v>0</v>
      </c>
      <c r="K5" s="452">
        <f>tertiair!K16</f>
        <v>0</v>
      </c>
      <c r="L5" s="452">
        <f ca="1">tertiair!L16</f>
        <v>0</v>
      </c>
      <c r="M5" s="452">
        <f>tertiair!M16</f>
        <v>0</v>
      </c>
      <c r="N5" s="452">
        <f ca="1">tertiair!N16</f>
        <v>694.56223404836169</v>
      </c>
      <c r="O5" s="452">
        <f>tertiair!O16</f>
        <v>3.1266666666666669</v>
      </c>
      <c r="P5" s="453">
        <f>tertiair!P16</f>
        <v>38.133333333333333</v>
      </c>
      <c r="Q5" s="451">
        <f t="shared" ref="Q5:Q14" ca="1" si="0">SUM(B5:P5)</f>
        <v>42728.514510774818</v>
      </c>
    </row>
    <row r="6" spans="1:17">
      <c r="A6" s="451" t="s">
        <v>193</v>
      </c>
      <c r="B6" s="452">
        <f>'openbare verlichting'!B8</f>
        <v>872.61900000000003</v>
      </c>
      <c r="C6" s="452"/>
      <c r="D6" s="452"/>
      <c r="E6" s="452"/>
      <c r="F6" s="452"/>
      <c r="G6" s="452"/>
      <c r="H6" s="452"/>
      <c r="I6" s="452"/>
      <c r="J6" s="452"/>
      <c r="K6" s="452"/>
      <c r="L6" s="452"/>
      <c r="M6" s="452"/>
      <c r="N6" s="452"/>
      <c r="O6" s="452"/>
      <c r="P6" s="453"/>
      <c r="Q6" s="451">
        <f t="shared" si="0"/>
        <v>872.61900000000003</v>
      </c>
    </row>
    <row r="7" spans="1:17">
      <c r="A7" s="451" t="s">
        <v>111</v>
      </c>
      <c r="B7" s="452">
        <f>landbouw!B8</f>
        <v>186.94007999999999</v>
      </c>
      <c r="C7" s="452">
        <f>landbouw!C8</f>
        <v>0</v>
      </c>
      <c r="D7" s="452">
        <f>landbouw!D8</f>
        <v>43.752494731712041</v>
      </c>
      <c r="E7" s="452">
        <f>landbouw!E8</f>
        <v>1.731517318662779</v>
      </c>
      <c r="F7" s="452">
        <f>landbouw!F8</f>
        <v>474.3025950086942</v>
      </c>
      <c r="G7" s="452">
        <f>landbouw!G8</f>
        <v>0</v>
      </c>
      <c r="H7" s="452">
        <f>landbouw!H8</f>
        <v>0</v>
      </c>
      <c r="I7" s="452">
        <f>landbouw!I8</f>
        <v>0</v>
      </c>
      <c r="J7" s="452">
        <f>landbouw!J8</f>
        <v>28.66000052138174</v>
      </c>
      <c r="K7" s="452">
        <f>landbouw!K8</f>
        <v>0</v>
      </c>
      <c r="L7" s="452">
        <f>landbouw!L8</f>
        <v>0</v>
      </c>
      <c r="M7" s="452">
        <f>landbouw!M8</f>
        <v>0</v>
      </c>
      <c r="N7" s="452">
        <f>landbouw!N8</f>
        <v>0</v>
      </c>
      <c r="O7" s="452">
        <f>landbouw!O8</f>
        <v>0</v>
      </c>
      <c r="P7" s="453">
        <f>landbouw!P8</f>
        <v>0</v>
      </c>
      <c r="Q7" s="451">
        <f t="shared" si="0"/>
        <v>735.38668758045083</v>
      </c>
    </row>
    <row r="8" spans="1:17">
      <c r="A8" s="451" t="s">
        <v>649</v>
      </c>
      <c r="B8" s="452">
        <f>industrie!B18</f>
        <v>20480.170689999999</v>
      </c>
      <c r="C8" s="452">
        <f>industrie!C18</f>
        <v>0</v>
      </c>
      <c r="D8" s="452">
        <f>industrie!D18</f>
        <v>21744.837917149969</v>
      </c>
      <c r="E8" s="452">
        <f>industrie!E18</f>
        <v>1133.3797931808158</v>
      </c>
      <c r="F8" s="452">
        <f>industrie!F18</f>
        <v>6107.0315777997039</v>
      </c>
      <c r="G8" s="452">
        <f>industrie!G18</f>
        <v>0</v>
      </c>
      <c r="H8" s="452">
        <f>industrie!H18</f>
        <v>0</v>
      </c>
      <c r="I8" s="452">
        <f>industrie!I18</f>
        <v>0</v>
      </c>
      <c r="J8" s="452">
        <f>industrie!J18</f>
        <v>76.594819578409272</v>
      </c>
      <c r="K8" s="452">
        <f>industrie!K18</f>
        <v>0</v>
      </c>
      <c r="L8" s="452">
        <f>industrie!L18</f>
        <v>0</v>
      </c>
      <c r="M8" s="452">
        <f>industrie!M18</f>
        <v>0</v>
      </c>
      <c r="N8" s="452">
        <f>industrie!N18</f>
        <v>1356.2408538370853</v>
      </c>
      <c r="O8" s="452">
        <f>industrie!O18</f>
        <v>0</v>
      </c>
      <c r="P8" s="453">
        <f>industrie!P18</f>
        <v>0</v>
      </c>
      <c r="Q8" s="451">
        <f t="shared" si="0"/>
        <v>50898.25565154598</v>
      </c>
    </row>
    <row r="9" spans="1:17" s="457" customFormat="1">
      <c r="A9" s="455" t="s">
        <v>570</v>
      </c>
      <c r="B9" s="456">
        <f>transport!B14</f>
        <v>6.2661680752695688</v>
      </c>
      <c r="C9" s="456">
        <f>transport!C14</f>
        <v>0</v>
      </c>
      <c r="D9" s="456">
        <f>transport!D14</f>
        <v>14.001337412508931</v>
      </c>
      <c r="E9" s="456">
        <f>transport!E14</f>
        <v>131.77929288488636</v>
      </c>
      <c r="F9" s="456">
        <f>transport!F14</f>
        <v>0</v>
      </c>
      <c r="G9" s="456">
        <f>transport!G14</f>
        <v>44478.663154295027</v>
      </c>
      <c r="H9" s="456">
        <f>transport!H14</f>
        <v>8419.0725659273394</v>
      </c>
      <c r="I9" s="456">
        <f>transport!I14</f>
        <v>0</v>
      </c>
      <c r="J9" s="456">
        <f>transport!J14</f>
        <v>0</v>
      </c>
      <c r="K9" s="456">
        <f>transport!K14</f>
        <v>0</v>
      </c>
      <c r="L9" s="456">
        <f>transport!L14</f>
        <v>0</v>
      </c>
      <c r="M9" s="456">
        <f>transport!M14</f>
        <v>2835.5520286316682</v>
      </c>
      <c r="N9" s="456">
        <f>transport!N14</f>
        <v>0</v>
      </c>
      <c r="O9" s="456">
        <f>transport!O14</f>
        <v>0</v>
      </c>
      <c r="P9" s="456">
        <f>transport!P14</f>
        <v>0</v>
      </c>
      <c r="Q9" s="455">
        <f>SUM(B9:P9)</f>
        <v>55885.334547226696</v>
      </c>
    </row>
    <row r="10" spans="1:17">
      <c r="A10" s="451" t="s">
        <v>560</v>
      </c>
      <c r="B10" s="452">
        <f>transport!B54</f>
        <v>0</v>
      </c>
      <c r="C10" s="452">
        <f>transport!C54</f>
        <v>0</v>
      </c>
      <c r="D10" s="452">
        <f>transport!D54</f>
        <v>0</v>
      </c>
      <c r="E10" s="452">
        <f>transport!E54</f>
        <v>0</v>
      </c>
      <c r="F10" s="452">
        <f>transport!F54</f>
        <v>0</v>
      </c>
      <c r="G10" s="452">
        <f>transport!G54</f>
        <v>1000.6329899544464</v>
      </c>
      <c r="H10" s="452">
        <f>transport!H54</f>
        <v>0</v>
      </c>
      <c r="I10" s="452">
        <f>transport!I54</f>
        <v>0</v>
      </c>
      <c r="J10" s="452">
        <f>transport!J54</f>
        <v>0</v>
      </c>
      <c r="K10" s="452">
        <f>transport!K54</f>
        <v>0</v>
      </c>
      <c r="L10" s="452">
        <f>transport!L54</f>
        <v>0</v>
      </c>
      <c r="M10" s="452">
        <f>transport!M54</f>
        <v>57.193136071270317</v>
      </c>
      <c r="N10" s="452">
        <f>transport!N54</f>
        <v>0</v>
      </c>
      <c r="O10" s="452">
        <f>transport!O54</f>
        <v>0</v>
      </c>
      <c r="P10" s="453">
        <f>transport!P54</f>
        <v>0</v>
      </c>
      <c r="Q10" s="451">
        <f t="shared" si="0"/>
        <v>1057.8261260257168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717.34759999999994</v>
      </c>
      <c r="C14" s="459"/>
      <c r="D14" s="459">
        <f>'SEAP template'!E25</f>
        <v>6899.1779081063996</v>
      </c>
      <c r="E14" s="459"/>
      <c r="F14" s="459"/>
      <c r="G14" s="459"/>
      <c r="H14" s="459"/>
      <c r="I14" s="459"/>
      <c r="J14" s="459"/>
      <c r="K14" s="459"/>
      <c r="L14" s="459"/>
      <c r="M14" s="459"/>
      <c r="N14" s="459"/>
      <c r="O14" s="459"/>
      <c r="P14" s="460"/>
      <c r="Q14" s="451">
        <f t="shared" si="0"/>
        <v>7616.5255081063997</v>
      </c>
    </row>
    <row r="15" spans="1:17" s="461" customFormat="1">
      <c r="A15" s="1017" t="s">
        <v>564</v>
      </c>
      <c r="B15" s="957">
        <f ca="1">SUM(B4:B14)</f>
        <v>62997.310350509513</v>
      </c>
      <c r="C15" s="957">
        <f t="shared" ref="C15:Q15" ca="1" si="1">SUM(C4:C14)</f>
        <v>0</v>
      </c>
      <c r="D15" s="957">
        <f t="shared" ca="1" si="1"/>
        <v>101087.05663521604</v>
      </c>
      <c r="E15" s="957">
        <f t="shared" si="1"/>
        <v>15899.467632135187</v>
      </c>
      <c r="F15" s="957">
        <f t="shared" ca="1" si="1"/>
        <v>9407.5839521692433</v>
      </c>
      <c r="G15" s="957">
        <f t="shared" si="1"/>
        <v>45479.296144249471</v>
      </c>
      <c r="H15" s="957">
        <f t="shared" si="1"/>
        <v>8419.0725659273394</v>
      </c>
      <c r="I15" s="957">
        <f t="shared" si="1"/>
        <v>0</v>
      </c>
      <c r="J15" s="957">
        <f t="shared" si="1"/>
        <v>105.254820099791</v>
      </c>
      <c r="K15" s="957">
        <f t="shared" si="1"/>
        <v>0</v>
      </c>
      <c r="L15" s="957">
        <f t="shared" ca="1" si="1"/>
        <v>0</v>
      </c>
      <c r="M15" s="957">
        <f t="shared" si="1"/>
        <v>2892.7451647029384</v>
      </c>
      <c r="N15" s="957">
        <f t="shared" ca="1" si="1"/>
        <v>10891.111078118747</v>
      </c>
      <c r="O15" s="957">
        <f t="shared" si="1"/>
        <v>145.38999999999999</v>
      </c>
      <c r="P15" s="957">
        <f t="shared" si="1"/>
        <v>247.86666666666667</v>
      </c>
      <c r="Q15" s="957">
        <f t="shared" ca="1" si="1"/>
        <v>257572.15500979489</v>
      </c>
    </row>
    <row r="17" spans="1:17">
      <c r="A17" s="462" t="s">
        <v>565</v>
      </c>
      <c r="B17" s="761">
        <f ca="1">huishoudens!B10</f>
        <v>0.20106622571988211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4121.1184097788309</v>
      </c>
      <c r="C22" s="452">
        <f t="shared" ref="C22:C32" ca="1" si="3">C4*$C$17</f>
        <v>0</v>
      </c>
      <c r="D22" s="452">
        <f t="shared" ref="D22:D32" si="4">D4*$D$17</f>
        <v>10840.656445288934</v>
      </c>
      <c r="E22" s="452">
        <f t="shared" ref="E22:E32" si="5">E4*$E$17</f>
        <v>3273.8958647549407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18235.670719822705</v>
      </c>
    </row>
    <row r="23" spans="1:17">
      <c r="A23" s="451" t="s">
        <v>155</v>
      </c>
      <c r="B23" s="452">
        <f t="shared" ca="1" si="2"/>
        <v>4069.1065557962597</v>
      </c>
      <c r="C23" s="452">
        <f t="shared" ca="1" si="3"/>
        <v>0</v>
      </c>
      <c r="D23" s="452">
        <f t="shared" ca="1" si="4"/>
        <v>3781.1715242297855</v>
      </c>
      <c r="E23" s="452">
        <f t="shared" si="5"/>
        <v>47.699120771495522</v>
      </c>
      <c r="F23" s="452">
        <f t="shared" ca="1" si="6"/>
        <v>754.6086910893456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8652.5858918868871</v>
      </c>
    </row>
    <row r="24" spans="1:17">
      <c r="A24" s="451" t="s">
        <v>193</v>
      </c>
      <c r="B24" s="452">
        <f t="shared" ca="1" si="2"/>
        <v>175.45420882145783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175.45420882145783</v>
      </c>
    </row>
    <row r="25" spans="1:17">
      <c r="A25" s="451" t="s">
        <v>111</v>
      </c>
      <c r="B25" s="452">
        <f t="shared" ca="1" si="2"/>
        <v>37.587336321372817</v>
      </c>
      <c r="C25" s="452">
        <f t="shared" ca="1" si="3"/>
        <v>0</v>
      </c>
      <c r="D25" s="452">
        <f t="shared" si="4"/>
        <v>8.8380039358058333</v>
      </c>
      <c r="E25" s="452">
        <f t="shared" si="5"/>
        <v>0.39305443133645085</v>
      </c>
      <c r="F25" s="452">
        <f t="shared" si="6"/>
        <v>126.63879286732136</v>
      </c>
      <c r="G25" s="452">
        <f t="shared" si="7"/>
        <v>0</v>
      </c>
      <c r="H25" s="452">
        <f t="shared" si="8"/>
        <v>0</v>
      </c>
      <c r="I25" s="452">
        <f t="shared" si="9"/>
        <v>0</v>
      </c>
      <c r="J25" s="452">
        <f t="shared" si="10"/>
        <v>10.145640184569135</v>
      </c>
      <c r="K25" s="452">
        <f t="shared" si="11"/>
        <v>0</v>
      </c>
      <c r="L25" s="452">
        <f t="shared" si="12"/>
        <v>0</v>
      </c>
      <c r="M25" s="452">
        <f t="shared" si="13"/>
        <v>0</v>
      </c>
      <c r="N25" s="452">
        <f t="shared" si="14"/>
        <v>0</v>
      </c>
      <c r="O25" s="452">
        <f t="shared" si="15"/>
        <v>0</v>
      </c>
      <c r="P25" s="453">
        <f t="shared" si="16"/>
        <v>0</v>
      </c>
      <c r="Q25" s="451">
        <f t="shared" ca="1" si="17"/>
        <v>183.60282774040562</v>
      </c>
    </row>
    <row r="26" spans="1:17">
      <c r="A26" s="451" t="s">
        <v>649</v>
      </c>
      <c r="B26" s="452">
        <f t="shared" ca="1" si="2"/>
        <v>4117.8706227372541</v>
      </c>
      <c r="C26" s="452">
        <f t="shared" ca="1" si="3"/>
        <v>0</v>
      </c>
      <c r="D26" s="452">
        <f t="shared" si="4"/>
        <v>4392.4572592642944</v>
      </c>
      <c r="E26" s="452">
        <f t="shared" si="5"/>
        <v>257.27721305204517</v>
      </c>
      <c r="F26" s="452">
        <f t="shared" si="6"/>
        <v>1630.5774312725209</v>
      </c>
      <c r="G26" s="452">
        <f t="shared" si="7"/>
        <v>0</v>
      </c>
      <c r="H26" s="452">
        <f t="shared" si="8"/>
        <v>0</v>
      </c>
      <c r="I26" s="452">
        <f t="shared" si="9"/>
        <v>0</v>
      </c>
      <c r="J26" s="452">
        <f t="shared" si="10"/>
        <v>27.114566130756881</v>
      </c>
      <c r="K26" s="452">
        <f t="shared" si="11"/>
        <v>0</v>
      </c>
      <c r="L26" s="452">
        <f t="shared" si="12"/>
        <v>0</v>
      </c>
      <c r="M26" s="452">
        <f t="shared" si="13"/>
        <v>0</v>
      </c>
      <c r="N26" s="452">
        <f t="shared" si="14"/>
        <v>0</v>
      </c>
      <c r="O26" s="452">
        <f t="shared" si="15"/>
        <v>0</v>
      </c>
      <c r="P26" s="453">
        <f t="shared" si="16"/>
        <v>0</v>
      </c>
      <c r="Q26" s="451">
        <f t="shared" ca="1" si="17"/>
        <v>10425.297092456869</v>
      </c>
    </row>
    <row r="27" spans="1:17" s="457" customFormat="1">
      <c r="A27" s="455" t="s">
        <v>570</v>
      </c>
      <c r="B27" s="755">
        <f t="shared" ca="1" si="2"/>
        <v>1.2599147646208704</v>
      </c>
      <c r="C27" s="456">
        <f t="shared" ca="1" si="3"/>
        <v>0</v>
      </c>
      <c r="D27" s="456">
        <f t="shared" si="4"/>
        <v>2.8282701573268043</v>
      </c>
      <c r="E27" s="456">
        <f t="shared" si="5"/>
        <v>29.913899484869205</v>
      </c>
      <c r="F27" s="456">
        <f t="shared" si="6"/>
        <v>0</v>
      </c>
      <c r="G27" s="456">
        <f t="shared" si="7"/>
        <v>11875.803062196774</v>
      </c>
      <c r="H27" s="456">
        <f t="shared" si="8"/>
        <v>2096.3490689159075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14006.154215519498</v>
      </c>
    </row>
    <row r="28" spans="1:17">
      <c r="A28" s="451" t="s">
        <v>560</v>
      </c>
      <c r="B28" s="452">
        <f t="shared" ca="1" si="2"/>
        <v>0</v>
      </c>
      <c r="C28" s="452">
        <f t="shared" ca="1" si="3"/>
        <v>0</v>
      </c>
      <c r="D28" s="452">
        <f t="shared" si="4"/>
        <v>0</v>
      </c>
      <c r="E28" s="452">
        <f t="shared" si="5"/>
        <v>0</v>
      </c>
      <c r="F28" s="452">
        <f t="shared" si="6"/>
        <v>0</v>
      </c>
      <c r="G28" s="452">
        <f t="shared" si="7"/>
        <v>267.16900831783721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267.16900831783721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144.23437446121571</v>
      </c>
      <c r="C32" s="452">
        <f t="shared" ca="1" si="3"/>
        <v>0</v>
      </c>
      <c r="D32" s="452">
        <f t="shared" si="4"/>
        <v>1393.6339374374927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1537.8683118987085</v>
      </c>
    </row>
    <row r="33" spans="1:17" s="461" customFormat="1">
      <c r="A33" s="1017" t="s">
        <v>564</v>
      </c>
      <c r="B33" s="957">
        <f ca="1">SUM(B22:B32)</f>
        <v>12666.631422681014</v>
      </c>
      <c r="C33" s="957">
        <f t="shared" ref="C33:Q33" ca="1" si="18">SUM(C22:C32)</f>
        <v>0</v>
      </c>
      <c r="D33" s="957">
        <f t="shared" ca="1" si="18"/>
        <v>20419.585440313636</v>
      </c>
      <c r="E33" s="957">
        <f t="shared" si="18"/>
        <v>3609.1791524946871</v>
      </c>
      <c r="F33" s="957">
        <f t="shared" ca="1" si="18"/>
        <v>2511.8249152291878</v>
      </c>
      <c r="G33" s="957">
        <f t="shared" si="18"/>
        <v>12142.97207051461</v>
      </c>
      <c r="H33" s="957">
        <f t="shared" si="18"/>
        <v>2096.3490689159075</v>
      </c>
      <c r="I33" s="957">
        <f t="shared" si="18"/>
        <v>0</v>
      </c>
      <c r="J33" s="957">
        <f t="shared" si="18"/>
        <v>37.260206315326016</v>
      </c>
      <c r="K33" s="957">
        <f t="shared" si="18"/>
        <v>0</v>
      </c>
      <c r="L33" s="957">
        <f t="shared" ca="1" si="18"/>
        <v>0</v>
      </c>
      <c r="M33" s="957">
        <f t="shared" si="18"/>
        <v>0</v>
      </c>
      <c r="N33" s="957">
        <f t="shared" ca="1" si="18"/>
        <v>0</v>
      </c>
      <c r="O33" s="957">
        <f t="shared" si="18"/>
        <v>0</v>
      </c>
      <c r="P33" s="957">
        <f t="shared" si="18"/>
        <v>0</v>
      </c>
      <c r="Q33" s="957">
        <f t="shared" ca="1" si="18"/>
        <v>53483.802276464376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5682.2360397357024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5682.2360397357024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0.20106622571988211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0.20106622571988211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4</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76.266666666666666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0.20106622571988211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0.20106622571988211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5479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312</v>
      </c>
      <c r="C14" s="330"/>
      <c r="D14" s="330"/>
      <c r="E14" s="330"/>
      <c r="F14" s="330"/>
    </row>
    <row r="15" spans="1:6">
      <c r="A15" s="1305" t="s">
        <v>183</v>
      </c>
      <c r="B15" s="1306">
        <v>2</v>
      </c>
      <c r="C15" s="330"/>
      <c r="D15" s="330"/>
      <c r="E15" s="330"/>
      <c r="F15" s="330"/>
    </row>
    <row r="16" spans="1:6">
      <c r="A16" s="1305" t="s">
        <v>6</v>
      </c>
      <c r="B16" s="1306">
        <v>66</v>
      </c>
      <c r="C16" s="330"/>
      <c r="D16" s="330"/>
      <c r="E16" s="330"/>
      <c r="F16" s="330"/>
    </row>
    <row r="17" spans="1:6">
      <c r="A17" s="1305" t="s">
        <v>7</v>
      </c>
      <c r="B17" s="1306">
        <v>156</v>
      </c>
      <c r="C17" s="330"/>
      <c r="D17" s="330"/>
      <c r="E17" s="330"/>
      <c r="F17" s="330"/>
    </row>
    <row r="18" spans="1:6">
      <c r="A18" s="1305" t="s">
        <v>8</v>
      </c>
      <c r="B18" s="1306">
        <v>209</v>
      </c>
      <c r="C18" s="330"/>
      <c r="D18" s="330"/>
      <c r="E18" s="330"/>
      <c r="F18" s="330"/>
    </row>
    <row r="19" spans="1:6">
      <c r="A19" s="1305" t="s">
        <v>9</v>
      </c>
      <c r="B19" s="1306">
        <v>168</v>
      </c>
      <c r="C19" s="330"/>
      <c r="D19" s="330"/>
      <c r="E19" s="330"/>
      <c r="F19" s="330"/>
    </row>
    <row r="20" spans="1:6">
      <c r="A20" s="1305" t="s">
        <v>10</v>
      </c>
      <c r="B20" s="1306">
        <v>128</v>
      </c>
      <c r="C20" s="330"/>
      <c r="D20" s="330"/>
      <c r="E20" s="330"/>
      <c r="F20" s="330"/>
    </row>
    <row r="21" spans="1:6">
      <c r="A21" s="1305" t="s">
        <v>11</v>
      </c>
      <c r="B21" s="1306">
        <v>0</v>
      </c>
      <c r="C21" s="330"/>
      <c r="D21" s="330"/>
      <c r="E21" s="330"/>
      <c r="F21" s="330"/>
    </row>
    <row r="22" spans="1:6">
      <c r="A22" s="1305" t="s">
        <v>12</v>
      </c>
      <c r="B22" s="1306">
        <v>187</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17</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24684.44</v>
      </c>
    </row>
    <row r="39" spans="1:6">
      <c r="A39" s="1305" t="s">
        <v>29</v>
      </c>
      <c r="B39" s="1305" t="s">
        <v>30</v>
      </c>
      <c r="C39" s="1306">
        <v>4390</v>
      </c>
      <c r="D39" s="1306">
        <v>59497357.057413302</v>
      </c>
      <c r="E39" s="1306">
        <v>5336</v>
      </c>
      <c r="F39" s="1306">
        <v>18405292</v>
      </c>
    </row>
    <row r="40" spans="1:6">
      <c r="A40" s="1305" t="s">
        <v>29</v>
      </c>
      <c r="B40" s="1305" t="s">
        <v>28</v>
      </c>
      <c r="C40" s="1306">
        <v>0</v>
      </c>
      <c r="D40" s="1306">
        <v>0</v>
      </c>
      <c r="E40" s="1306">
        <v>0</v>
      </c>
      <c r="F40" s="1306">
        <v>0</v>
      </c>
    </row>
    <row r="41" spans="1:6">
      <c r="A41" s="1305" t="s">
        <v>31</v>
      </c>
      <c r="B41" s="1305" t="s">
        <v>32</v>
      </c>
      <c r="C41" s="1306">
        <v>83</v>
      </c>
      <c r="D41" s="1306">
        <v>2384459.7283302601</v>
      </c>
      <c r="E41" s="1306">
        <v>152</v>
      </c>
      <c r="F41" s="1306">
        <v>1276256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16</v>
      </c>
      <c r="F44" s="1306">
        <v>1428058</v>
      </c>
    </row>
    <row r="45" spans="1:6">
      <c r="A45" s="1305" t="s">
        <v>31</v>
      </c>
      <c r="B45" s="1305" t="s">
        <v>36</v>
      </c>
      <c r="C45" s="1306">
        <v>0</v>
      </c>
      <c r="D45" s="1306">
        <v>0</v>
      </c>
      <c r="E45" s="1306">
        <v>3</v>
      </c>
      <c r="F45" s="1306">
        <v>22222.19</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880293.1</v>
      </c>
    </row>
    <row r="48" spans="1:6">
      <c r="A48" s="1305" t="s">
        <v>31</v>
      </c>
      <c r="B48" s="1305" t="s">
        <v>28</v>
      </c>
      <c r="C48" s="1306">
        <v>45</v>
      </c>
      <c r="D48" s="1306">
        <v>15415836.6229627</v>
      </c>
      <c r="E48" s="1306">
        <v>49</v>
      </c>
      <c r="F48" s="1306">
        <v>14413077</v>
      </c>
    </row>
    <row r="49" spans="1:6">
      <c r="A49" s="1305" t="s">
        <v>31</v>
      </c>
      <c r="B49" s="1305" t="s">
        <v>39</v>
      </c>
      <c r="C49" s="1306">
        <v>3</v>
      </c>
      <c r="D49" s="1306">
        <v>5869553.97689291</v>
      </c>
      <c r="E49" s="1306">
        <v>9</v>
      </c>
      <c r="F49" s="1306">
        <v>1787801</v>
      </c>
    </row>
    <row r="50" spans="1:6">
      <c r="A50" s="1305" t="s">
        <v>31</v>
      </c>
      <c r="B50" s="1305" t="s">
        <v>40</v>
      </c>
      <c r="C50" s="1306">
        <v>6</v>
      </c>
      <c r="D50" s="1306">
        <v>437508.78173648799</v>
      </c>
      <c r="E50" s="1306">
        <v>9</v>
      </c>
      <c r="F50" s="1306">
        <v>672463.4</v>
      </c>
    </row>
    <row r="51" spans="1:6">
      <c r="A51" s="1305" t="s">
        <v>41</v>
      </c>
      <c r="B51" s="1305" t="s">
        <v>42</v>
      </c>
      <c r="C51" s="1306">
        <v>0</v>
      </c>
      <c r="D51" s="1306">
        <v>0</v>
      </c>
      <c r="E51" s="1306">
        <v>16</v>
      </c>
      <c r="F51" s="1306">
        <v>134527.4</v>
      </c>
    </row>
    <row r="52" spans="1:6">
      <c r="A52" s="1305" t="s">
        <v>41</v>
      </c>
      <c r="B52" s="1305" t="s">
        <v>28</v>
      </c>
      <c r="C52" s="1306">
        <v>3</v>
      </c>
      <c r="D52" s="1306">
        <v>48506.0917203016</v>
      </c>
      <c r="E52" s="1306">
        <v>4</v>
      </c>
      <c r="F52" s="1306">
        <v>52412.68</v>
      </c>
    </row>
    <row r="53" spans="1:6">
      <c r="A53" s="1305" t="s">
        <v>43</v>
      </c>
      <c r="B53" s="1305" t="s">
        <v>44</v>
      </c>
      <c r="C53" s="1306">
        <v>86</v>
      </c>
      <c r="D53" s="1306">
        <v>6899177.9081063997</v>
      </c>
      <c r="E53" s="1306">
        <v>151</v>
      </c>
      <c r="F53" s="1306">
        <v>717347.6</v>
      </c>
    </row>
    <row r="54" spans="1:6">
      <c r="A54" s="1305" t="s">
        <v>45</v>
      </c>
      <c r="B54" s="1305" t="s">
        <v>46</v>
      </c>
      <c r="C54" s="1306">
        <v>0</v>
      </c>
      <c r="D54" s="1306">
        <v>0</v>
      </c>
      <c r="E54" s="1306">
        <v>1</v>
      </c>
      <c r="F54" s="1306">
        <v>872619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32</v>
      </c>
      <c r="D57" s="1306">
        <v>962807.76001784601</v>
      </c>
      <c r="E57" s="1306">
        <v>47</v>
      </c>
      <c r="F57" s="1306">
        <v>409277.9</v>
      </c>
    </row>
    <row r="58" spans="1:6">
      <c r="A58" s="1305" t="s">
        <v>48</v>
      </c>
      <c r="B58" s="1305" t="s">
        <v>50</v>
      </c>
      <c r="C58" s="1306">
        <v>9</v>
      </c>
      <c r="D58" s="1306">
        <v>441453.77249142999</v>
      </c>
      <c r="E58" s="1306">
        <v>24</v>
      </c>
      <c r="F58" s="1306">
        <v>3047879</v>
      </c>
    </row>
    <row r="59" spans="1:6">
      <c r="A59" s="1305" t="s">
        <v>48</v>
      </c>
      <c r="B59" s="1305" t="s">
        <v>51</v>
      </c>
      <c r="C59" s="1306">
        <v>127</v>
      </c>
      <c r="D59" s="1306">
        <v>5721121.3656140203</v>
      </c>
      <c r="E59" s="1306">
        <v>224</v>
      </c>
      <c r="F59" s="1306">
        <v>7419941</v>
      </c>
    </row>
    <row r="60" spans="1:6">
      <c r="A60" s="1305" t="s">
        <v>48</v>
      </c>
      <c r="B60" s="1305" t="s">
        <v>52</v>
      </c>
      <c r="C60" s="1306">
        <v>58</v>
      </c>
      <c r="D60" s="1306">
        <v>2721522.0612440002</v>
      </c>
      <c r="E60" s="1306">
        <v>66</v>
      </c>
      <c r="F60" s="1306">
        <v>2034655</v>
      </c>
    </row>
    <row r="61" spans="1:6">
      <c r="A61" s="1305" t="s">
        <v>48</v>
      </c>
      <c r="B61" s="1305" t="s">
        <v>53</v>
      </c>
      <c r="C61" s="1306">
        <v>103</v>
      </c>
      <c r="D61" s="1306">
        <v>2152788.3904455402</v>
      </c>
      <c r="E61" s="1306">
        <v>265</v>
      </c>
      <c r="F61" s="1306">
        <v>3854519</v>
      </c>
    </row>
    <row r="62" spans="1:6">
      <c r="A62" s="1305" t="s">
        <v>48</v>
      </c>
      <c r="B62" s="1305" t="s">
        <v>54</v>
      </c>
      <c r="C62" s="1306">
        <v>33</v>
      </c>
      <c r="D62" s="1306">
        <v>3943163.0312572801</v>
      </c>
      <c r="E62" s="1306">
        <v>9</v>
      </c>
      <c r="F62" s="1306">
        <v>162686.39999999999</v>
      </c>
    </row>
    <row r="63" spans="1:6">
      <c r="A63" s="1305" t="s">
        <v>48</v>
      </c>
      <c r="B63" s="1305" t="s">
        <v>28</v>
      </c>
      <c r="C63" s="1306">
        <v>91</v>
      </c>
      <c r="D63" s="1306">
        <v>4809550.3950148504</v>
      </c>
      <c r="E63" s="1306">
        <v>103</v>
      </c>
      <c r="F63" s="1306">
        <v>3308685</v>
      </c>
    </row>
    <row r="64" spans="1:6">
      <c r="A64" s="1305" t="s">
        <v>55</v>
      </c>
      <c r="B64" s="1305" t="s">
        <v>56</v>
      </c>
      <c r="C64" s="1306">
        <v>0</v>
      </c>
      <c r="D64" s="1306">
        <v>0</v>
      </c>
      <c r="E64" s="1306">
        <v>0</v>
      </c>
      <c r="F64" s="1306">
        <v>0</v>
      </c>
    </row>
    <row r="65" spans="1:6">
      <c r="A65" s="1305" t="s">
        <v>55</v>
      </c>
      <c r="B65" s="1305" t="s">
        <v>28</v>
      </c>
      <c r="C65" s="1306">
        <v>1</v>
      </c>
      <c r="D65" s="1306">
        <v>13217.839228298801</v>
      </c>
      <c r="E65" s="1306">
        <v>4</v>
      </c>
      <c r="F65" s="1306">
        <v>15490.6</v>
      </c>
    </row>
    <row r="66" spans="1:6">
      <c r="A66" s="1305" t="s">
        <v>55</v>
      </c>
      <c r="B66" s="1305" t="s">
        <v>57</v>
      </c>
      <c r="C66" s="1306">
        <v>0</v>
      </c>
      <c r="D66" s="1306">
        <v>0</v>
      </c>
      <c r="E66" s="1306">
        <v>10</v>
      </c>
      <c r="F66" s="1306">
        <v>69686.259999999995</v>
      </c>
    </row>
    <row r="67" spans="1:6">
      <c r="A67" s="1307" t="s">
        <v>55</v>
      </c>
      <c r="B67" s="1307" t="s">
        <v>58</v>
      </c>
      <c r="C67" s="1306">
        <v>0</v>
      </c>
      <c r="D67" s="1306">
        <v>0</v>
      </c>
      <c r="E67" s="1306">
        <v>0</v>
      </c>
      <c r="F67" s="1306">
        <v>0</v>
      </c>
    </row>
    <row r="68" spans="1:6">
      <c r="A68" s="1300" t="s">
        <v>55</v>
      </c>
      <c r="B68" s="1300" t="s">
        <v>59</v>
      </c>
      <c r="C68" s="1309">
        <v>3</v>
      </c>
      <c r="D68" s="1309">
        <v>46739.857809557601</v>
      </c>
      <c r="E68" s="1309">
        <v>5</v>
      </c>
      <c r="F68" s="1309">
        <v>101367.5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33576496</v>
      </c>
      <c r="E73" s="450"/>
      <c r="F73" s="330"/>
    </row>
    <row r="74" spans="1:6">
      <c r="A74" s="1305" t="s">
        <v>63</v>
      </c>
      <c r="B74" s="1305" t="s">
        <v>710</v>
      </c>
      <c r="C74" s="1319" t="s">
        <v>712</v>
      </c>
      <c r="D74" s="1320">
        <v>3880482.6982346945</v>
      </c>
      <c r="E74" s="450"/>
      <c r="F74" s="330"/>
    </row>
    <row r="75" spans="1:6">
      <c r="A75" s="1305" t="s">
        <v>64</v>
      </c>
      <c r="B75" s="1305" t="s">
        <v>709</v>
      </c>
      <c r="C75" s="1319" t="s">
        <v>713</v>
      </c>
      <c r="D75" s="1320">
        <v>21806797</v>
      </c>
      <c r="E75" s="450"/>
      <c r="F75" s="330"/>
    </row>
    <row r="76" spans="1:6">
      <c r="A76" s="1305" t="s">
        <v>64</v>
      </c>
      <c r="B76" s="1305" t="s">
        <v>710</v>
      </c>
      <c r="C76" s="1319" t="s">
        <v>714</v>
      </c>
      <c r="D76" s="1320">
        <v>1307878.6982346945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284026.60353061114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2091.0315124342465</v>
      </c>
      <c r="C91" s="330"/>
      <c r="D91" s="330"/>
      <c r="E91" s="330"/>
      <c r="F91" s="330"/>
    </row>
    <row r="92" spans="1:6">
      <c r="A92" s="1300" t="s">
        <v>68</v>
      </c>
      <c r="B92" s="1301">
        <v>3591.2045273014564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3195</v>
      </c>
      <c r="C97" s="330"/>
      <c r="D97" s="330"/>
      <c r="E97" s="330"/>
      <c r="F97" s="330"/>
    </row>
    <row r="98" spans="1:6">
      <c r="A98" s="1305" t="s">
        <v>71</v>
      </c>
      <c r="B98" s="1306">
        <v>0</v>
      </c>
      <c r="C98" s="330"/>
      <c r="D98" s="330"/>
      <c r="E98" s="330"/>
      <c r="F98" s="330"/>
    </row>
    <row r="99" spans="1:6">
      <c r="A99" s="1305" t="s">
        <v>72</v>
      </c>
      <c r="B99" s="1306">
        <v>60</v>
      </c>
      <c r="C99" s="330"/>
      <c r="D99" s="330"/>
      <c r="E99" s="330"/>
      <c r="F99" s="330"/>
    </row>
    <row r="100" spans="1:6">
      <c r="A100" s="1305" t="s">
        <v>73</v>
      </c>
      <c r="B100" s="1306">
        <v>247</v>
      </c>
      <c r="C100" s="330"/>
      <c r="D100" s="330"/>
      <c r="E100" s="330"/>
      <c r="F100" s="330"/>
    </row>
    <row r="101" spans="1:6">
      <c r="A101" s="1305" t="s">
        <v>74</v>
      </c>
      <c r="B101" s="1306">
        <v>51</v>
      </c>
      <c r="C101" s="330"/>
      <c r="D101" s="330"/>
      <c r="E101" s="330"/>
      <c r="F101" s="330"/>
    </row>
    <row r="102" spans="1:6">
      <c r="A102" s="1305" t="s">
        <v>75</v>
      </c>
      <c r="B102" s="1306">
        <v>81</v>
      </c>
      <c r="C102" s="330"/>
      <c r="D102" s="330"/>
      <c r="E102" s="330"/>
      <c r="F102" s="330"/>
    </row>
    <row r="103" spans="1:6">
      <c r="A103" s="1305" t="s">
        <v>76</v>
      </c>
      <c r="B103" s="1306">
        <v>88</v>
      </c>
      <c r="C103" s="330"/>
      <c r="D103" s="330"/>
      <c r="E103" s="330"/>
      <c r="F103" s="330"/>
    </row>
    <row r="104" spans="1:6">
      <c r="A104" s="1305" t="s">
        <v>77</v>
      </c>
      <c r="B104" s="1306">
        <v>1163</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4</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84</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62997.310350509521</v>
      </c>
      <c r="C3" s="43" t="s">
        <v>169</v>
      </c>
      <c r="D3" s="43"/>
      <c r="E3" s="154"/>
      <c r="F3" s="43"/>
      <c r="G3" s="43"/>
      <c r="H3" s="43"/>
      <c r="I3" s="43"/>
      <c r="J3" s="43"/>
      <c r="K3" s="96"/>
    </row>
    <row r="4" spans="1:11">
      <c r="A4" s="359" t="s">
        <v>170</v>
      </c>
      <c r="B4" s="49">
        <f>IF(ISERROR('SEAP template'!B78+'SEAP template'!C78),0,'SEAP template'!B78+'SEAP template'!C78)</f>
        <v>5682.2360397357024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0.20106622571988211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872.61900000000003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872.61900000000003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0.20106622571988211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175.45420882145783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18405.292000000001</v>
      </c>
      <c r="C5" s="17">
        <f>IF(ISERROR('Eigen informatie GS &amp; warmtenet'!B57),0,'Eigen informatie GS &amp; warmtenet'!B57)</f>
        <v>0</v>
      </c>
      <c r="D5" s="30">
        <f>(SUM(HH_hh_gas_kWh,HH_rest_gas_kWh)/1000)*0.902</f>
        <v>53666.616065786802</v>
      </c>
      <c r="E5" s="17">
        <f>B46*B57</f>
        <v>14422.448743413835</v>
      </c>
      <c r="F5" s="17">
        <f>B51*B62</f>
        <v>0</v>
      </c>
      <c r="G5" s="18"/>
      <c r="H5" s="17"/>
      <c r="I5" s="17"/>
      <c r="J5" s="17">
        <f>B50*B61+C50*C61</f>
        <v>0</v>
      </c>
      <c r="K5" s="17"/>
      <c r="L5" s="17"/>
      <c r="M5" s="17"/>
      <c r="N5" s="17">
        <f>B48*B59+C48*C59</f>
        <v>8840.3079902332993</v>
      </c>
      <c r="O5" s="17">
        <f>B69*B70*B71</f>
        <v>142.26333333333332</v>
      </c>
      <c r="P5" s="17">
        <f>B77*B78*B79/1000-B77*B78*B79/1000/B80</f>
        <v>209.73333333333335</v>
      </c>
    </row>
    <row r="6" spans="1:16">
      <c r="A6" s="16" t="s">
        <v>630</v>
      </c>
      <c r="B6" s="763">
        <f>kWh_PV_kleiner_dan_10kW</f>
        <v>2091.0315124342465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20496.323512434246</v>
      </c>
      <c r="C8" s="21">
        <f>C5</f>
        <v>0</v>
      </c>
      <c r="D8" s="21">
        <f>D5</f>
        <v>53666.616065786802</v>
      </c>
      <c r="E8" s="21">
        <f>E5</f>
        <v>14422.448743413835</v>
      </c>
      <c r="F8" s="21">
        <f>F5</f>
        <v>0</v>
      </c>
      <c r="G8" s="21"/>
      <c r="H8" s="21"/>
      <c r="I8" s="21"/>
      <c r="J8" s="21">
        <f>J5</f>
        <v>0</v>
      </c>
      <c r="K8" s="21"/>
      <c r="L8" s="21">
        <f>L5</f>
        <v>0</v>
      </c>
      <c r="M8" s="21">
        <f>M5</f>
        <v>0</v>
      </c>
      <c r="N8" s="21">
        <f>N5</f>
        <v>8840.3079902332993</v>
      </c>
      <c r="O8" s="21">
        <f>O5</f>
        <v>142.26333333333332</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0.20106622571988211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4121.1184097788309</v>
      </c>
      <c r="C12" s="23">
        <f ca="1">C10*C8</f>
        <v>0</v>
      </c>
      <c r="D12" s="23">
        <f>D8*D10</f>
        <v>10840.656445288934</v>
      </c>
      <c r="E12" s="23">
        <f>E10*E8</f>
        <v>3273.8958647549407</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5479</v>
      </c>
      <c r="C28" s="36"/>
      <c r="D28" s="228"/>
    </row>
    <row r="29" spans="1:7" s="15" customFormat="1">
      <c r="A29" s="230" t="s">
        <v>737</v>
      </c>
      <c r="B29" s="37">
        <f>SUM(HH_hh_gas_aantal,HH_rest_gas_aantal)</f>
        <v>4390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4390</v>
      </c>
      <c r="C32" s="167">
        <f>IF(ISERROR(B32/SUM($B$32,$B$34,$B$35,$B$36,$B$38,$B$39)*100),0,B32/SUM($B$32,$B$34,$B$35,$B$36,$B$38,$B$39)*100)</f>
        <v>80.285296269202632</v>
      </c>
      <c r="D32" s="233"/>
      <c r="G32" s="15"/>
    </row>
    <row r="33" spans="1:7">
      <c r="A33" s="171" t="s">
        <v>71</v>
      </c>
      <c r="B33" s="34" t="s">
        <v>110</v>
      </c>
      <c r="C33" s="167"/>
      <c r="D33" s="233"/>
      <c r="G33" s="15"/>
    </row>
    <row r="34" spans="1:7">
      <c r="A34" s="171" t="s">
        <v>72</v>
      </c>
      <c r="B34" s="33">
        <f>IF((($B$28-$B$32-$B$39-$B$77-$B$38)*C20/100)&lt;0,0,($B$28-$B$32-$B$39-$B$77-$B$38)*C20/100)</f>
        <v>180.67039106145251</v>
      </c>
      <c r="C34" s="167">
        <f>IF(ISERROR(B34/SUM($B$32,$B$34,$B$35,$B$36,$B$38,$B$39)*100),0,B34/SUM($B$32,$B$34,$B$35,$B$36,$B$38,$B$39)*100)</f>
        <v>3.3041402900777705</v>
      </c>
      <c r="D34" s="233"/>
      <c r="G34" s="15"/>
    </row>
    <row r="35" spans="1:7">
      <c r="A35" s="171" t="s">
        <v>73</v>
      </c>
      <c r="B35" s="33">
        <f>IF((($B$28-$B$32-$B$39-$B$77-$B$38)*C21/100)&lt;0,0,($B$28-$B$32-$B$39-$B$77-$B$38)*C21/100)</f>
        <v>743.75977653631287</v>
      </c>
      <c r="C35" s="167">
        <f>IF(ISERROR(B35/SUM($B$32,$B$34,$B$35,$B$36,$B$38,$B$39)*100),0,B35/SUM($B$32,$B$34,$B$35,$B$36,$B$38,$B$39)*100)</f>
        <v>13.602044194153489</v>
      </c>
      <c r="D35" s="233"/>
      <c r="G35" s="15"/>
    </row>
    <row r="36" spans="1:7">
      <c r="A36" s="171" t="s">
        <v>74</v>
      </c>
      <c r="B36" s="33">
        <f>IF((($B$28-$B$32-$B$39-$B$77-$B$38)*C22/100)&lt;0,0,($B$28-$B$32-$B$39-$B$77-$B$38)*C22/100)</f>
        <v>153.56983240223462</v>
      </c>
      <c r="C36" s="167">
        <f>IF(ISERROR(B36/SUM($B$32,$B$34,$B$35,$B$36,$B$38,$B$39)*100),0,B36/SUM($B$32,$B$34,$B$35,$B$36,$B$38,$B$39)*100)</f>
        <v>2.8085192465661049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4390</v>
      </c>
      <c r="C44" s="34" t="s">
        <v>110</v>
      </c>
      <c r="D44" s="174"/>
    </row>
    <row r="45" spans="1:7">
      <c r="A45" s="171" t="s">
        <v>71</v>
      </c>
      <c r="B45" s="33" t="str">
        <f t="shared" si="0"/>
        <v>-</v>
      </c>
      <c r="C45" s="34" t="s">
        <v>110</v>
      </c>
      <c r="D45" s="174"/>
    </row>
    <row r="46" spans="1:7">
      <c r="A46" s="171" t="s">
        <v>72</v>
      </c>
      <c r="B46" s="33">
        <f t="shared" si="0"/>
        <v>180.67039106145251</v>
      </c>
      <c r="C46" s="34" t="s">
        <v>110</v>
      </c>
      <c r="D46" s="174"/>
    </row>
    <row r="47" spans="1:7">
      <c r="A47" s="171" t="s">
        <v>73</v>
      </c>
      <c r="B47" s="33">
        <f t="shared" si="0"/>
        <v>743.75977653631287</v>
      </c>
      <c r="C47" s="34" t="s">
        <v>110</v>
      </c>
      <c r="D47" s="174"/>
    </row>
    <row r="48" spans="1:7">
      <c r="A48" s="171" t="s">
        <v>74</v>
      </c>
      <c r="B48" s="33">
        <f t="shared" si="0"/>
        <v>153.56983240223462</v>
      </c>
      <c r="C48" s="33">
        <f>B48*10</f>
        <v>1535.6983240223462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20237.6433</v>
      </c>
      <c r="C5" s="17">
        <f>IF(ISERROR('Eigen informatie GS &amp; warmtenet'!B58),0,'Eigen informatie GS &amp; warmtenet'!B58)</f>
        <v>0</v>
      </c>
      <c r="D5" s="30">
        <f>SUM(D6:D12)</f>
        <v>18718.67091202864</v>
      </c>
      <c r="E5" s="17">
        <f>SUM(E6:E12)</f>
        <v>210.12828533698467</v>
      </c>
      <c r="F5" s="17">
        <f>SUM(F6:F12)</f>
        <v>2826.249779360845</v>
      </c>
      <c r="G5" s="18"/>
      <c r="H5" s="17"/>
      <c r="I5" s="17"/>
      <c r="J5" s="17">
        <f>SUM(J6:J12)</f>
        <v>0</v>
      </c>
      <c r="K5" s="17"/>
      <c r="L5" s="17"/>
      <c r="M5" s="17"/>
      <c r="N5" s="17">
        <f>SUM(N6:N12)</f>
        <v>694.56223404836169</v>
      </c>
      <c r="O5" s="17">
        <f>B38*B39*B40</f>
        <v>3.1266666666666669</v>
      </c>
      <c r="P5" s="17">
        <f>B46*B47*B48/1000-B46*B47*B48/1000/B49</f>
        <v>38.133333333333333</v>
      </c>
      <c r="R5" s="32"/>
    </row>
    <row r="6" spans="1:18">
      <c r="A6" s="32" t="s">
        <v>53</v>
      </c>
      <c r="B6" s="37">
        <f>B26</f>
        <v>3854.5189999999998</v>
      </c>
      <c r="C6" s="33"/>
      <c r="D6" s="37">
        <f>IF(ISERROR(TER_kantoor_gas_kWh/1000),0,TER_kantoor_gas_kWh/1000)*0.902</f>
        <v>1941.8151281818773</v>
      </c>
      <c r="E6" s="33">
        <f>$C$26*'E Balans VL '!I12/100/3.6*1000000</f>
        <v>11.167107081126419</v>
      </c>
      <c r="F6" s="33">
        <f>$C$26*('E Balans VL '!L12+'E Balans VL '!N12)/100/3.6*1000000</f>
        <v>436.24662916225623</v>
      </c>
      <c r="G6" s="34"/>
      <c r="H6" s="33"/>
      <c r="I6" s="33"/>
      <c r="J6" s="33">
        <f>$C$26*('E Balans VL '!D12+'E Balans VL '!E12)/100/3.6*1000000</f>
        <v>0</v>
      </c>
      <c r="K6" s="33"/>
      <c r="L6" s="33"/>
      <c r="M6" s="33"/>
      <c r="N6" s="33">
        <f>$C$26*'E Balans VL '!Y12/100/3.6*1000000</f>
        <v>38.580895053592208</v>
      </c>
      <c r="O6" s="33"/>
      <c r="P6" s="33"/>
      <c r="R6" s="32"/>
    </row>
    <row r="7" spans="1:18">
      <c r="A7" s="32" t="s">
        <v>52</v>
      </c>
      <c r="B7" s="37">
        <f t="shared" ref="B7:B12" si="0">B27</f>
        <v>2034.655</v>
      </c>
      <c r="C7" s="33"/>
      <c r="D7" s="37">
        <f>IF(ISERROR(TER_horeca_gas_kWh/1000),0,TER_horeca_gas_kWh/1000)*0.902</f>
        <v>2454.8128992420884</v>
      </c>
      <c r="E7" s="33">
        <f>$C$27*'E Balans VL '!I9/100/3.6*1000000</f>
        <v>85.409132186281724</v>
      </c>
      <c r="F7" s="33">
        <f>$C$27*('E Balans VL '!L9+'E Balans VL '!N9)/100/3.6*1000000</f>
        <v>437.18735128051424</v>
      </c>
      <c r="G7" s="34"/>
      <c r="H7" s="33"/>
      <c r="I7" s="33"/>
      <c r="J7" s="33">
        <f>$C$27*('E Balans VL '!D9+'E Balans VL '!E9)/100/3.6*1000000</f>
        <v>0</v>
      </c>
      <c r="K7" s="33"/>
      <c r="L7" s="33"/>
      <c r="M7" s="33"/>
      <c r="N7" s="33">
        <f>$C$27*'E Balans VL '!Y9/100/3.6*1000000</f>
        <v>0.52431279979651724</v>
      </c>
      <c r="O7" s="33"/>
      <c r="P7" s="33"/>
      <c r="R7" s="32"/>
    </row>
    <row r="8" spans="1:18">
      <c r="A8" s="6" t="s">
        <v>51</v>
      </c>
      <c r="B8" s="37">
        <f t="shared" si="0"/>
        <v>7419.9409999999998</v>
      </c>
      <c r="C8" s="33"/>
      <c r="D8" s="37">
        <f>IF(ISERROR(TER_handel_gas_kWh/1000),0,TER_handel_gas_kWh/1000)*0.902</f>
        <v>5160.4514717838456</v>
      </c>
      <c r="E8" s="33">
        <f>$C$28*'E Balans VL '!I13/100/3.6*1000000</f>
        <v>79.696341781347527</v>
      </c>
      <c r="F8" s="33">
        <f>$C$28*('E Balans VL '!L13+'E Balans VL '!N13)/100/3.6*1000000</f>
        <v>960.57263505965545</v>
      </c>
      <c r="G8" s="34"/>
      <c r="H8" s="33"/>
      <c r="I8" s="33"/>
      <c r="J8" s="33">
        <f>$C$28*('E Balans VL '!D13+'E Balans VL '!E13)/100/3.6*1000000</f>
        <v>0</v>
      </c>
      <c r="K8" s="33"/>
      <c r="L8" s="33"/>
      <c r="M8" s="33"/>
      <c r="N8" s="33">
        <f>$C$28*'E Balans VL '!Y13/100/3.6*1000000</f>
        <v>60.190966538394164</v>
      </c>
      <c r="O8" s="33"/>
      <c r="P8" s="33"/>
      <c r="R8" s="32"/>
    </row>
    <row r="9" spans="1:18">
      <c r="A9" s="32" t="s">
        <v>50</v>
      </c>
      <c r="B9" s="37">
        <f t="shared" si="0"/>
        <v>3047.8789999999999</v>
      </c>
      <c r="C9" s="33"/>
      <c r="D9" s="37">
        <f>IF(ISERROR(TER_gezond_gas_kWh/1000),0,TER_gezond_gas_kWh/1000)*0.902</f>
        <v>398.19130278726988</v>
      </c>
      <c r="E9" s="33">
        <f>$C$29*'E Balans VL '!I10/100/3.6*1000000</f>
        <v>2.4263088155324102</v>
      </c>
      <c r="F9" s="33">
        <f>$C$29*('E Balans VL '!L10+'E Balans VL '!N10)/100/3.6*1000000</f>
        <v>370.51373826877472</v>
      </c>
      <c r="G9" s="34"/>
      <c r="H9" s="33"/>
      <c r="I9" s="33"/>
      <c r="J9" s="33">
        <f>$C$29*('E Balans VL '!D10+'E Balans VL '!E10)/100/3.6*1000000</f>
        <v>0</v>
      </c>
      <c r="K9" s="33"/>
      <c r="L9" s="33"/>
      <c r="M9" s="33"/>
      <c r="N9" s="33">
        <f>$C$29*'E Balans VL '!Y10/100/3.6*1000000</f>
        <v>24.619959079513539</v>
      </c>
      <c r="O9" s="33"/>
      <c r="P9" s="33"/>
      <c r="R9" s="32"/>
    </row>
    <row r="10" spans="1:18">
      <c r="A10" s="32" t="s">
        <v>49</v>
      </c>
      <c r="B10" s="37">
        <f t="shared" si="0"/>
        <v>409.27790000000005</v>
      </c>
      <c r="C10" s="33"/>
      <c r="D10" s="37">
        <f>IF(ISERROR(TER_ander_gas_kWh/1000),0,TER_ander_gas_kWh/1000)*0.902</f>
        <v>868.45259953609718</v>
      </c>
      <c r="E10" s="33">
        <f>$C$30*'E Balans VL '!I14/100/3.6*1000000</f>
        <v>1.4026168640047774</v>
      </c>
      <c r="F10" s="33">
        <f>$C$30*('E Balans VL '!L14+'E Balans VL '!N14)/100/3.6*1000000</f>
        <v>91.416051765228787</v>
      </c>
      <c r="G10" s="34"/>
      <c r="H10" s="33"/>
      <c r="I10" s="33"/>
      <c r="J10" s="33">
        <f>$C$30*('E Balans VL '!D14+'E Balans VL '!E14)/100/3.6*1000000</f>
        <v>0</v>
      </c>
      <c r="K10" s="33"/>
      <c r="L10" s="33"/>
      <c r="M10" s="33"/>
      <c r="N10" s="33">
        <f>$C$30*'E Balans VL '!Y14/100/3.6*1000000</f>
        <v>288.29758860146308</v>
      </c>
      <c r="O10" s="33"/>
      <c r="P10" s="33"/>
      <c r="R10" s="32"/>
    </row>
    <row r="11" spans="1:18">
      <c r="A11" s="32" t="s">
        <v>54</v>
      </c>
      <c r="B11" s="37">
        <f t="shared" si="0"/>
        <v>162.68639999999999</v>
      </c>
      <c r="C11" s="33"/>
      <c r="D11" s="37">
        <f>IF(ISERROR(TER_onderwijs_gas_kWh/1000),0,TER_onderwijs_gas_kWh/1000)*0.902</f>
        <v>3556.7330541940669</v>
      </c>
      <c r="E11" s="33">
        <f>$C$31*'E Balans VL '!I11/100/3.6*1000000</f>
        <v>0.11246009797320052</v>
      </c>
      <c r="F11" s="33">
        <f>$C$31*('E Balans VL '!L11+'E Balans VL '!N11)/100/3.6*1000000</f>
        <v>42.586573800727749</v>
      </c>
      <c r="G11" s="34"/>
      <c r="H11" s="33"/>
      <c r="I11" s="33"/>
      <c r="J11" s="33">
        <f>$C$31*('E Balans VL '!D11+'E Balans VL '!E11)/100/3.6*1000000</f>
        <v>0</v>
      </c>
      <c r="K11" s="33"/>
      <c r="L11" s="33"/>
      <c r="M11" s="33"/>
      <c r="N11" s="33">
        <f>$C$31*'E Balans VL '!Y11/100/3.6*1000000</f>
        <v>0.16194045465337306</v>
      </c>
      <c r="O11" s="33"/>
      <c r="P11" s="33"/>
      <c r="R11" s="32"/>
    </row>
    <row r="12" spans="1:18">
      <c r="A12" s="32" t="s">
        <v>259</v>
      </c>
      <c r="B12" s="37">
        <f t="shared" si="0"/>
        <v>3308.6849999999999</v>
      </c>
      <c r="C12" s="33"/>
      <c r="D12" s="37">
        <f>IF(ISERROR(TER_rest_gas_kWh/1000),0,TER_rest_gas_kWh/1000)*0.902</f>
        <v>4338.2144563033953</v>
      </c>
      <c r="E12" s="33">
        <f>$C$32*'E Balans VL '!I8/100/3.6*1000000</f>
        <v>29.914318510718587</v>
      </c>
      <c r="F12" s="33">
        <f>$C$32*('E Balans VL '!L8+'E Balans VL '!N8)/100/3.6*1000000</f>
        <v>487.72680002368742</v>
      </c>
      <c r="G12" s="34"/>
      <c r="H12" s="33"/>
      <c r="I12" s="33"/>
      <c r="J12" s="33">
        <f>$C$32*('E Balans VL '!D8+'E Balans VL '!E8)/100/3.6*1000000</f>
        <v>0</v>
      </c>
      <c r="K12" s="33"/>
      <c r="L12" s="33"/>
      <c r="M12" s="33"/>
      <c r="N12" s="33">
        <f>$C$32*'E Balans VL '!Y8/100/3.6*1000000</f>
        <v>282.18657152094886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20237.6433</v>
      </c>
      <c r="C16" s="21">
        <f t="shared" ca="1" si="1"/>
        <v>0</v>
      </c>
      <c r="D16" s="21">
        <f t="shared" ca="1" si="1"/>
        <v>18718.67091202864</v>
      </c>
      <c r="E16" s="21">
        <f t="shared" si="1"/>
        <v>210.12828533698467</v>
      </c>
      <c r="F16" s="21">
        <f t="shared" ca="1" si="1"/>
        <v>2826.249779360845</v>
      </c>
      <c r="G16" s="21">
        <f t="shared" si="1"/>
        <v>0</v>
      </c>
      <c r="H16" s="21">
        <f t="shared" si="1"/>
        <v>0</v>
      </c>
      <c r="I16" s="21">
        <f t="shared" si="1"/>
        <v>0</v>
      </c>
      <c r="J16" s="21">
        <f t="shared" si="1"/>
        <v>0</v>
      </c>
      <c r="K16" s="21">
        <f t="shared" si="1"/>
        <v>0</v>
      </c>
      <c r="L16" s="21">
        <f t="shared" ca="1" si="1"/>
        <v>0</v>
      </c>
      <c r="M16" s="21">
        <f t="shared" si="1"/>
        <v>0</v>
      </c>
      <c r="N16" s="21">
        <f t="shared" ca="1" si="1"/>
        <v>694.56223404836169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0.20106622571988211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4069.1065557962597</v>
      </c>
      <c r="C20" s="23">
        <f t="shared" ref="C20:P20" ca="1" si="2">C16*C18</f>
        <v>0</v>
      </c>
      <c r="D20" s="23">
        <f t="shared" ca="1" si="2"/>
        <v>3781.1715242297855</v>
      </c>
      <c r="E20" s="23">
        <f t="shared" si="2"/>
        <v>47.699120771495522</v>
      </c>
      <c r="F20" s="23">
        <f t="shared" ca="1" si="2"/>
        <v>754.6086910893456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3854.5189999999998</v>
      </c>
      <c r="C26" s="39">
        <f>IF(ISERROR(B26*3.6/1000000/'E Balans VL '!Z12*100),0,B26*3.6/1000000/'E Balans VL '!Z12*100)</f>
        <v>8.4668966105202609E-2</v>
      </c>
      <c r="D26" s="237" t="s">
        <v>691</v>
      </c>
      <c r="F26" s="6"/>
    </row>
    <row r="27" spans="1:18">
      <c r="A27" s="231" t="s">
        <v>52</v>
      </c>
      <c r="B27" s="33">
        <f>IF(ISERROR(TER_horeca_ele_kWh/1000),0,TER_horeca_ele_kWh/1000)</f>
        <v>2034.655</v>
      </c>
      <c r="C27" s="39">
        <f>IF(ISERROR(B27*3.6/1000000/'E Balans VL '!Z9*100),0,B27*3.6/1000000/'E Balans VL '!Z9*100)</f>
        <v>0.16350481093058852</v>
      </c>
      <c r="D27" s="237" t="s">
        <v>691</v>
      </c>
      <c r="F27" s="6"/>
    </row>
    <row r="28" spans="1:18">
      <c r="A28" s="171" t="s">
        <v>51</v>
      </c>
      <c r="B28" s="33">
        <f>IF(ISERROR(TER_handel_ele_kWh/1000),0,TER_handel_ele_kWh/1000)</f>
        <v>7419.9409999999998</v>
      </c>
      <c r="C28" s="39">
        <f>IF(ISERROR(B28*3.6/1000000/'E Balans VL '!Z13*100),0,B28*3.6/1000000/'E Balans VL '!Z13*100)</f>
        <v>0.21940247169037785</v>
      </c>
      <c r="D28" s="237" t="s">
        <v>691</v>
      </c>
      <c r="F28" s="6"/>
    </row>
    <row r="29" spans="1:18">
      <c r="A29" s="231" t="s">
        <v>50</v>
      </c>
      <c r="B29" s="33">
        <f>IF(ISERROR(TER_gezond_ele_kWh/1000),0,TER_gezond_ele_kWh/1000)</f>
        <v>3047.8789999999999</v>
      </c>
      <c r="C29" s="39">
        <f>IF(ISERROR(B29*3.6/1000000/'E Balans VL '!Z10*100),0,B29*3.6/1000000/'E Balans VL '!Z10*100)</f>
        <v>0.34341727400069927</v>
      </c>
      <c r="D29" s="237" t="s">
        <v>691</v>
      </c>
      <c r="F29" s="6"/>
    </row>
    <row r="30" spans="1:18">
      <c r="A30" s="231" t="s">
        <v>49</v>
      </c>
      <c r="B30" s="33">
        <f>IF(ISERROR(TER_ander_ele_kWh/1000),0,TER_ander_ele_kWh/1000)</f>
        <v>409.27790000000005</v>
      </c>
      <c r="C30" s="39">
        <f>IF(ISERROR(B30*3.6/1000000/'E Balans VL '!Z14*100),0,B30*3.6/1000000/'E Balans VL '!Z14*100)</f>
        <v>3.0952987948032234E-2</v>
      </c>
      <c r="D30" s="237" t="s">
        <v>691</v>
      </c>
      <c r="F30" s="6"/>
    </row>
    <row r="31" spans="1:18">
      <c r="A31" s="231" t="s">
        <v>54</v>
      </c>
      <c r="B31" s="33">
        <f>IF(ISERROR(TER_onderwijs_ele_kWh/1000),0,TER_onderwijs_ele_kWh/1000)</f>
        <v>162.68639999999999</v>
      </c>
      <c r="C31" s="39">
        <f>IF(ISERROR(B31*3.6/1000000/'E Balans VL '!Z11*100),0,B31*3.6/1000000/'E Balans VL '!Z11*100)</f>
        <v>3.3769920037355149E-2</v>
      </c>
      <c r="D31" s="237" t="s">
        <v>691</v>
      </c>
    </row>
    <row r="32" spans="1:18">
      <c r="A32" s="231" t="s">
        <v>259</v>
      </c>
      <c r="B32" s="33">
        <f>IF(ISERROR(TER_rest_ele_kWh/1000),0,TER_rest_ele_kWh/1000)</f>
        <v>3308.6849999999999</v>
      </c>
      <c r="C32" s="39">
        <f>IF(ISERROR(B32*3.6/1000000/'E Balans VL '!Z8*100),0,B32*3.6/1000000/'E Balans VL '!Z8*100)</f>
        <v>2.7873724691529777E-2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20480.170689999999</v>
      </c>
      <c r="C5" s="17">
        <f>IF(ISERROR('Eigen informatie GS &amp; warmtenet'!B59),0,'Eigen informatie GS &amp; warmtenet'!B59)</f>
        <v>0</v>
      </c>
      <c r="D5" s="30">
        <f>SUM(D6:D15)</f>
        <v>21744.837917149969</v>
      </c>
      <c r="E5" s="17">
        <f>SUM(E6:E15)</f>
        <v>1133.3797931808158</v>
      </c>
      <c r="F5" s="17">
        <f>SUM(F6:F15)</f>
        <v>6107.0315777997039</v>
      </c>
      <c r="G5" s="18"/>
      <c r="H5" s="17"/>
      <c r="I5" s="17"/>
      <c r="J5" s="17">
        <f>SUM(J6:J15)</f>
        <v>76.594819578409272</v>
      </c>
      <c r="K5" s="17"/>
      <c r="L5" s="17"/>
      <c r="M5" s="17"/>
      <c r="N5" s="17">
        <f>SUM(N6:N15)</f>
        <v>1356.2408538370853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1428.058</v>
      </c>
      <c r="C8" s="33"/>
      <c r="D8" s="37">
        <f>IF( ISERROR(IND_metaal_Gas_kWH/1000),0,IND_metaal_Gas_kWH/1000)*0.902</f>
        <v>0</v>
      </c>
      <c r="E8" s="33">
        <f>C30*'E Balans VL '!I18/100/3.6*1000000</f>
        <v>35.739293644077229</v>
      </c>
      <c r="F8" s="33">
        <f>C30*'E Balans VL '!L18/100/3.6*1000000+C30*'E Balans VL '!N18/100/3.6*1000000</f>
        <v>447.56048072581189</v>
      </c>
      <c r="G8" s="34"/>
      <c r="H8" s="33"/>
      <c r="I8" s="33"/>
      <c r="J8" s="40">
        <f>C30*'E Balans VL '!D18/100/3.6*1000000+C30*'E Balans VL '!E18/100/3.6*1000000</f>
        <v>0</v>
      </c>
      <c r="K8" s="33"/>
      <c r="L8" s="33"/>
      <c r="M8" s="33"/>
      <c r="N8" s="33">
        <f>C30*'E Balans VL '!Y18/100/3.6*1000000</f>
        <v>35.876523093687361</v>
      </c>
      <c r="O8" s="33"/>
      <c r="P8" s="33"/>
      <c r="R8" s="32"/>
    </row>
    <row r="9" spans="1:18">
      <c r="A9" s="6" t="s">
        <v>32</v>
      </c>
      <c r="B9" s="37">
        <f t="shared" si="0"/>
        <v>1276.2560000000001</v>
      </c>
      <c r="C9" s="33"/>
      <c r="D9" s="37">
        <f>IF( ISERROR(IND_andere_gas_kWh/1000),0,IND_andere_gas_kWh/1000)*0.902</f>
        <v>2150.7826749538945</v>
      </c>
      <c r="E9" s="33">
        <f>C31*'E Balans VL '!I19/100/3.6*1000000</f>
        <v>350.91805428920748</v>
      </c>
      <c r="F9" s="33">
        <f>C31*'E Balans VL '!L19/100/3.6*1000000+C31*'E Balans VL '!N19/100/3.6*1000000</f>
        <v>1005.9118124892132</v>
      </c>
      <c r="G9" s="34"/>
      <c r="H9" s="33"/>
      <c r="I9" s="33"/>
      <c r="J9" s="40">
        <f>C31*'E Balans VL '!D19/100/3.6*1000000+C31*'E Balans VL '!E19/100/3.6*1000000</f>
        <v>0</v>
      </c>
      <c r="K9" s="33"/>
      <c r="L9" s="33"/>
      <c r="M9" s="33"/>
      <c r="N9" s="33">
        <f>C31*'E Balans VL '!Y19/100/3.6*1000000</f>
        <v>102.81598759970348</v>
      </c>
      <c r="O9" s="33"/>
      <c r="P9" s="33"/>
      <c r="R9" s="32"/>
    </row>
    <row r="10" spans="1:18">
      <c r="A10" s="6" t="s">
        <v>40</v>
      </c>
      <c r="B10" s="37">
        <f t="shared" si="0"/>
        <v>672.46339999999998</v>
      </c>
      <c r="C10" s="33"/>
      <c r="D10" s="37">
        <f>IF( ISERROR(IND_voed_gas_kWh/1000),0,IND_voed_gas_kWh/1000)*0.902</f>
        <v>394.63292112631217</v>
      </c>
      <c r="E10" s="33">
        <f>C32*'E Balans VL '!I20/100/3.6*1000000</f>
        <v>6.855393900799073</v>
      </c>
      <c r="F10" s="33">
        <f>C32*'E Balans VL '!L20/100/3.6*1000000+C32*'E Balans VL '!N20/100/3.6*1000000</f>
        <v>1270.279156747428</v>
      </c>
      <c r="G10" s="34"/>
      <c r="H10" s="33"/>
      <c r="I10" s="33"/>
      <c r="J10" s="40">
        <f>C32*'E Balans VL '!D20/100/3.6*1000000+C32*'E Balans VL '!E20/100/3.6*1000000</f>
        <v>16.094249472206478</v>
      </c>
      <c r="K10" s="33"/>
      <c r="L10" s="33"/>
      <c r="M10" s="33"/>
      <c r="N10" s="33">
        <f>C32*'E Balans VL '!Y20/100/3.6*1000000</f>
        <v>354.46567008546884</v>
      </c>
      <c r="O10" s="33"/>
      <c r="P10" s="33"/>
      <c r="R10" s="32"/>
    </row>
    <row r="11" spans="1:18">
      <c r="A11" s="6" t="s">
        <v>39</v>
      </c>
      <c r="B11" s="37">
        <f t="shared" si="0"/>
        <v>1787.8009999999999</v>
      </c>
      <c r="C11" s="33"/>
      <c r="D11" s="37">
        <f>IF( ISERROR(IND_textiel_gas_kWh/1000),0,IND_textiel_gas_kWh/1000)*0.902</f>
        <v>5294.3376871574055</v>
      </c>
      <c r="E11" s="33">
        <f>C33*'E Balans VL '!I21/100/3.6*1000000</f>
        <v>4.7385472735400782</v>
      </c>
      <c r="F11" s="33">
        <f>C33*'E Balans VL '!L21/100/3.6*1000000+C33*'E Balans VL '!N21/100/3.6*1000000</f>
        <v>79.845036914058312</v>
      </c>
      <c r="G11" s="34"/>
      <c r="H11" s="33"/>
      <c r="I11" s="33"/>
      <c r="J11" s="40">
        <f>C33*'E Balans VL '!D21/100/3.6*1000000+C33*'E Balans VL '!E21/100/3.6*1000000</f>
        <v>0</v>
      </c>
      <c r="K11" s="33"/>
      <c r="L11" s="33"/>
      <c r="M11" s="33"/>
      <c r="N11" s="33">
        <f>C33*'E Balans VL '!Y21/100/3.6*1000000</f>
        <v>16.848746429559711</v>
      </c>
      <c r="O11" s="33"/>
      <c r="P11" s="33"/>
      <c r="R11" s="32"/>
    </row>
    <row r="12" spans="1:18">
      <c r="A12" s="6" t="s">
        <v>36</v>
      </c>
      <c r="B12" s="37">
        <f t="shared" si="0"/>
        <v>22.222189999999998</v>
      </c>
      <c r="C12" s="33"/>
      <c r="D12" s="37">
        <f>IF( ISERROR(IND_min_gas_kWh/1000),0,IND_min_gas_kWh/1000)*0.902</f>
        <v>0</v>
      </c>
      <c r="E12" s="33">
        <f>C34*'E Balans VL '!I22/100/3.6*1000000</f>
        <v>6.73009612371787E-2</v>
      </c>
      <c r="F12" s="33">
        <f>C34*'E Balans VL '!L22/100/3.6*1000000+C34*'E Balans VL '!N22/100/3.6*1000000</f>
        <v>0.69446254271907515</v>
      </c>
      <c r="G12" s="34"/>
      <c r="H12" s="33"/>
      <c r="I12" s="33"/>
      <c r="J12" s="40">
        <f>C34*'E Balans VL '!D22/100/3.6*1000000+C34*'E Balans VL '!E22/100/3.6*1000000</f>
        <v>3.2950574698016433E-2</v>
      </c>
      <c r="K12" s="33"/>
      <c r="L12" s="33"/>
      <c r="M12" s="33"/>
      <c r="N12" s="33">
        <f>C34*'E Balans VL '!Y22/100/3.6*1000000</f>
        <v>0</v>
      </c>
      <c r="O12" s="33"/>
      <c r="P12" s="33"/>
      <c r="R12" s="32"/>
    </row>
    <row r="13" spans="1:18">
      <c r="A13" s="6" t="s">
        <v>38</v>
      </c>
      <c r="B13" s="37">
        <f t="shared" si="0"/>
        <v>880.29309999999998</v>
      </c>
      <c r="C13" s="33"/>
      <c r="D13" s="37">
        <f>IF( ISERROR(IND_papier_gas_kWh/1000),0,IND_papier_gas_kWh/1000)*0.902</f>
        <v>0</v>
      </c>
      <c r="E13" s="33">
        <f>C35*'E Balans VL '!I23/100/3.6*1000000</f>
        <v>1.8231464284534808</v>
      </c>
      <c r="F13" s="33">
        <f>C35*'E Balans VL '!L23/100/3.6*1000000+C35*'E Balans VL '!N23/100/3.6*1000000</f>
        <v>17.458099371410391</v>
      </c>
      <c r="G13" s="34"/>
      <c r="H13" s="33"/>
      <c r="I13" s="33"/>
      <c r="J13" s="40">
        <f>C35*'E Balans VL '!D23/100/3.6*1000000+C35*'E Balans VL '!E23/100/3.6*1000000</f>
        <v>0</v>
      </c>
      <c r="K13" s="33"/>
      <c r="L13" s="33"/>
      <c r="M13" s="33"/>
      <c r="N13" s="33">
        <f>C35*'E Balans VL '!Y23/100/3.6*1000000</f>
        <v>61.052775967733737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14413.076999999999</v>
      </c>
      <c r="C15" s="33"/>
      <c r="D15" s="37">
        <f>IF( ISERROR(IND_rest_gas_kWh/1000),0,IND_rest_gas_kWh/1000)*0.902</f>
        <v>13905.084633912356</v>
      </c>
      <c r="E15" s="33">
        <f>C37*'E Balans VL '!I15/100/3.6*1000000</f>
        <v>733.23805668350121</v>
      </c>
      <c r="F15" s="33">
        <f>C37*'E Balans VL '!L15/100/3.6*1000000+C37*'E Balans VL '!N15/100/3.6*1000000</f>
        <v>3285.2825290090627</v>
      </c>
      <c r="G15" s="34"/>
      <c r="H15" s="33"/>
      <c r="I15" s="33"/>
      <c r="J15" s="40">
        <f>C37*'E Balans VL '!D15/100/3.6*1000000+C37*'E Balans VL '!E15/100/3.6*1000000</f>
        <v>60.467619531504781</v>
      </c>
      <c r="K15" s="33"/>
      <c r="L15" s="33"/>
      <c r="M15" s="33"/>
      <c r="N15" s="33">
        <f>C37*'E Balans VL '!Y15/100/3.6*1000000</f>
        <v>785.18115066093219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20480.170689999999</v>
      </c>
      <c r="C18" s="21">
        <f>C5+C16</f>
        <v>0</v>
      </c>
      <c r="D18" s="21">
        <f>MAX((D5+D16),0)</f>
        <v>21744.837917149969</v>
      </c>
      <c r="E18" s="21">
        <f>MAX((E5+E16),0)</f>
        <v>1133.3797931808158</v>
      </c>
      <c r="F18" s="21">
        <f>MAX((F5+F16),0)</f>
        <v>6107.0315777997039</v>
      </c>
      <c r="G18" s="21"/>
      <c r="H18" s="21"/>
      <c r="I18" s="21"/>
      <c r="J18" s="21">
        <f>MAX((J5+J16),0)</f>
        <v>76.594819578409272</v>
      </c>
      <c r="K18" s="21"/>
      <c r="L18" s="21">
        <f>MAX((L5+L16),0)</f>
        <v>0</v>
      </c>
      <c r="M18" s="21"/>
      <c r="N18" s="21">
        <f>MAX((N5+N16),0)</f>
        <v>1356.2408538370853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0.20106622571988211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4117.8706227372541</v>
      </c>
      <c r="C22" s="23">
        <f ca="1">C18*C20</f>
        <v>0</v>
      </c>
      <c r="D22" s="23">
        <f>D18*D20</f>
        <v>4392.4572592642944</v>
      </c>
      <c r="E22" s="23">
        <f>E18*E20</f>
        <v>257.27721305204517</v>
      </c>
      <c r="F22" s="23">
        <f>F18*F20</f>
        <v>1630.5774312725209</v>
      </c>
      <c r="G22" s="23"/>
      <c r="H22" s="23"/>
      <c r="I22" s="23"/>
      <c r="J22" s="23">
        <f>J18*J20</f>
        <v>27.114566130756881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1428.058</v>
      </c>
      <c r="C30" s="39">
        <f>IF(ISERROR(B30*3.6/1000000/'E Balans VL '!Z18*100),0,B30*3.6/1000000/'E Balans VL '!Z18*100)</f>
        <v>0.19988052944140258</v>
      </c>
      <c r="D30" s="237" t="s">
        <v>691</v>
      </c>
    </row>
    <row r="31" spans="1:18">
      <c r="A31" s="6" t="s">
        <v>32</v>
      </c>
      <c r="B31" s="37">
        <f>IF( ISERROR(IND_ander_ele_kWh/1000),0,IND_ander_ele_kWh/1000)</f>
        <v>1276.2560000000001</v>
      </c>
      <c r="C31" s="39">
        <f>IF(ISERROR(B31*3.6/1000000/'E Balans VL '!Z19*100),0,B31*3.6/1000000/'E Balans VL '!Z19*100)</f>
        <v>5.5861518081861988E-2</v>
      </c>
      <c r="D31" s="237" t="s">
        <v>691</v>
      </c>
    </row>
    <row r="32" spans="1:18">
      <c r="A32" s="171" t="s">
        <v>40</v>
      </c>
      <c r="B32" s="37">
        <f>IF( ISERROR(IND_voed_ele_kWh/1000),0,IND_voed_ele_kWh/1000)</f>
        <v>672.46339999999998</v>
      </c>
      <c r="C32" s="39">
        <f>IF(ISERROR(B32*3.6/1000000/'E Balans VL '!Z20*100),0,B32*3.6/1000000/'E Balans VL '!Z20*100)</f>
        <v>0.16647960643199342</v>
      </c>
      <c r="D32" s="237" t="s">
        <v>691</v>
      </c>
    </row>
    <row r="33" spans="1:5">
      <c r="A33" s="171" t="s">
        <v>39</v>
      </c>
      <c r="B33" s="37">
        <f>IF( ISERROR(IND_textiel_ele_kWh/1000),0,IND_textiel_ele_kWh/1000)</f>
        <v>1787.8009999999999</v>
      </c>
      <c r="C33" s="39">
        <f>IF(ISERROR(B33*3.6/1000000/'E Balans VL '!Z21*100),0,B33*3.6/1000000/'E Balans VL '!Z21*100)</f>
        <v>0.2014536802952448</v>
      </c>
      <c r="D33" s="237" t="s">
        <v>691</v>
      </c>
    </row>
    <row r="34" spans="1:5">
      <c r="A34" s="171" t="s">
        <v>36</v>
      </c>
      <c r="B34" s="37">
        <f>IF( ISERROR(IND_min_ele_kWh/1000),0,IND_min_ele_kWh/1000)</f>
        <v>22.222189999999998</v>
      </c>
      <c r="C34" s="39">
        <f>IF(ISERROR(B34*3.6/1000000/'E Balans VL '!Z22*100),0,B34*3.6/1000000/'E Balans VL '!Z22*100)</f>
        <v>6.3057509053736165E-4</v>
      </c>
      <c r="D34" s="237" t="s">
        <v>691</v>
      </c>
    </row>
    <row r="35" spans="1:5">
      <c r="A35" s="171" t="s">
        <v>38</v>
      </c>
      <c r="B35" s="37">
        <f>IF( ISERROR(IND_papier_ele_kWh/1000),0,IND_papier_ele_kWh/1000)</f>
        <v>880.29309999999998</v>
      </c>
      <c r="C35" s="39">
        <f>IF(ISERROR(B35*3.6/1000000/'E Balans VL '!Z22*100),0,B35*3.6/1000000/'E Balans VL '!Z22*100)</f>
        <v>2.4979126775169985E-2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14413.076999999999</v>
      </c>
      <c r="C37" s="39">
        <f>IF(ISERROR(B37*3.6/1000000/'E Balans VL '!Z15*100),0,B37*3.6/1000000/'E Balans VL '!Z15*100)</f>
        <v>0.10687049833179657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186.94007999999999</v>
      </c>
      <c r="C5" s="17">
        <f>'Eigen informatie GS &amp; warmtenet'!B60</f>
        <v>0</v>
      </c>
      <c r="D5" s="30">
        <f>IF(ISERROR(SUM(LB_lb_gas_kWh,LB_rest_gas_kWh)/1000),0,SUM(LB_lb_gas_kWh,LB_rest_gas_kWh)/1000)*0.902</f>
        <v>43.752494731712041</v>
      </c>
      <c r="E5" s="17">
        <f>B17*'E Balans VL '!I25/3.6*1000000/100</f>
        <v>1.731517318662779</v>
      </c>
      <c r="F5" s="17">
        <f>B17*('E Balans VL '!L25/3.6*1000000+'E Balans VL '!N25/3.6*1000000)/100</f>
        <v>474.3025950086942</v>
      </c>
      <c r="G5" s="18"/>
      <c r="H5" s="17"/>
      <c r="I5" s="17"/>
      <c r="J5" s="17">
        <f>('E Balans VL '!D25+'E Balans VL '!E25)/3.6*1000000*landbouw!B17/100</f>
        <v>28.66000052138174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186.94007999999999</v>
      </c>
      <c r="C8" s="21">
        <f>C5+C6</f>
        <v>0</v>
      </c>
      <c r="D8" s="21">
        <f>MAX((D5+D6),0)</f>
        <v>43.752494731712041</v>
      </c>
      <c r="E8" s="21">
        <f>MAX((E5+E6),0)</f>
        <v>1.731517318662779</v>
      </c>
      <c r="F8" s="21">
        <f>MAX((F5+F6),0)</f>
        <v>474.3025950086942</v>
      </c>
      <c r="G8" s="21"/>
      <c r="H8" s="21"/>
      <c r="I8" s="21"/>
      <c r="J8" s="21">
        <f>MAX((J5+J6),0)</f>
        <v>28.66000052138174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0.20106622571988211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37.587336321372817</v>
      </c>
      <c r="C12" s="23">
        <f ca="1">C8*C10</f>
        <v>0</v>
      </c>
      <c r="D12" s="23">
        <f>D8*D10</f>
        <v>8.8380039358058333</v>
      </c>
      <c r="E12" s="23">
        <f>E8*E10</f>
        <v>0.39305443133645085</v>
      </c>
      <c r="F12" s="23">
        <f>F8*F10</f>
        <v>126.63879286732136</v>
      </c>
      <c r="G12" s="23"/>
      <c r="H12" s="23"/>
      <c r="I12" s="23"/>
      <c r="J12" s="23">
        <f>J8*J10</f>
        <v>10.145640184569135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2.6578915561162292E-2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45.101156834362186</v>
      </c>
      <c r="C26" s="247">
        <f>B26*'GWP N2O_CH4'!B5</f>
        <v>947.12429352160586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6.1201653644852181</v>
      </c>
      <c r="C27" s="247">
        <f>B27*'GWP N2O_CH4'!B5</f>
        <v>128.52347265418959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0.66791798152415516</v>
      </c>
      <c r="C28" s="247">
        <f>B28*'GWP N2O_CH4'!B4</f>
        <v>207.05457427248811</v>
      </c>
      <c r="D28" s="50"/>
    </row>
    <row r="29" spans="1:4">
      <c r="A29" s="41" t="s">
        <v>276</v>
      </c>
      <c r="B29" s="247">
        <f>B34*'ha_N2O bodem landbouw'!B4</f>
        <v>2.0653735900478858</v>
      </c>
      <c r="C29" s="247">
        <f>B29*'GWP N2O_CH4'!B4</f>
        <v>640.26581291484456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4.6322690992018245E-4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2.2558205070970448E-5</v>
      </c>
      <c r="C5" s="438" t="s">
        <v>210</v>
      </c>
      <c r="D5" s="423">
        <f>SUM(D6:D11)</f>
        <v>5.040481468503215E-5</v>
      </c>
      <c r="E5" s="423">
        <f>SUM(E6:E11)</f>
        <v>4.744054543855909E-4</v>
      </c>
      <c r="F5" s="436" t="s">
        <v>210</v>
      </c>
      <c r="G5" s="423">
        <f>SUM(G6:G11)</f>
        <v>0.1601231873554621</v>
      </c>
      <c r="H5" s="423">
        <f>SUM(H6:H11)</f>
        <v>3.0308661237338424E-2</v>
      </c>
      <c r="I5" s="438" t="s">
        <v>210</v>
      </c>
      <c r="J5" s="438" t="s">
        <v>210</v>
      </c>
      <c r="K5" s="438" t="s">
        <v>210</v>
      </c>
      <c r="L5" s="438" t="s">
        <v>210</v>
      </c>
      <c r="M5" s="423">
        <f>SUM(M6:M11)</f>
        <v>1.0207987303074007E-2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1.3676064410482399E-5</v>
      </c>
      <c r="C6" s="424"/>
      <c r="D6" s="866">
        <f>vkm_GW_PW*SUMIFS(TableVerdeelsleutelVkm[CNG],TableVerdeelsleutelVkm[Voertuigtype],"Lichte voertuigen")*SUMIFS(TableECFTransport[EnergieConsumptieFactor (PJ per km)],TableECFTransport[Index],CONCATENATE($A6,"_CNG_CNG"))</f>
        <v>2.3864520244209105E-5</v>
      </c>
      <c r="E6" s="866">
        <f>vkm_GW_PW*SUMIFS(TableVerdeelsleutelVkm[LPG],TableVerdeelsleutelVkm[Voertuigtype],"Lichte voertuigen")*SUMIFS(TableECFTransport[EnergieConsumptieFactor (PJ per km)],TableECFTransport[Index],CONCATENATE($A6,"_LPG_LPG"))</f>
        <v>2.3113960970065967E-4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5.4321785483437961E-2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1.4614494673688491E-2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3.5952064362823753E-3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3.6320692943043451E-2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7.0437368535122669E-7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2.1057916645228904E-3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8.8821406604880491E-6</v>
      </c>
      <c r="C8" s="424"/>
      <c r="D8" s="426">
        <f>vkm_NGW_PW*SUMIFS(TableVerdeelsleutelVkm[CNG],TableVerdeelsleutelVkm[Voertuigtype],"Lichte voertuigen")*SUMIFS(TableECFTransport[EnergieConsumptieFactor (PJ per km)],TableECFTransport[Index],CONCATENATE($A8,"_CNG_CNG"))</f>
        <v>2.6540294440823048E-5</v>
      </c>
      <c r="E8" s="426">
        <f>vkm_NGW_PW*SUMIFS(TableVerdeelsleutelVkm[LPG],TableVerdeelsleutelVkm[Voertuigtype],"Lichte voertuigen")*SUMIFS(TableECFTransport[EnergieConsumptieFactor (PJ per km)],TableECFTransport[Index],CONCATENATE($A8,"_LPG_LPG"))</f>
        <v>2.4326584468493121E-4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5.3664884142950522E-2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1.5693082265605604E-2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3.5900212039636286E-3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1.5815824786030171E-2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3.7992435897782543E-7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9.1696799830511173E-4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6.2661680752695688</v>
      </c>
      <c r="C14" s="21"/>
      <c r="D14" s="21">
        <f t="shared" ref="D14:M14" si="0">((D5)*10^9/3600)+D12</f>
        <v>14.001337412508931</v>
      </c>
      <c r="E14" s="21">
        <f t="shared" si="0"/>
        <v>131.77929288488636</v>
      </c>
      <c r="F14" s="21"/>
      <c r="G14" s="21">
        <f t="shared" si="0"/>
        <v>44478.663154295027</v>
      </c>
      <c r="H14" s="21">
        <f t="shared" si="0"/>
        <v>8419.0725659273394</v>
      </c>
      <c r="I14" s="21"/>
      <c r="J14" s="21"/>
      <c r="K14" s="21"/>
      <c r="L14" s="21"/>
      <c r="M14" s="21">
        <f t="shared" si="0"/>
        <v>2835.5520286316682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0.20106622571988211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1.2599147646208704</v>
      </c>
      <c r="C18" s="23"/>
      <c r="D18" s="23">
        <f t="shared" ref="D18:M18" si="1">D14*D16</f>
        <v>2.8282701573268043</v>
      </c>
      <c r="E18" s="23">
        <f t="shared" si="1"/>
        <v>29.913899484869205</v>
      </c>
      <c r="F18" s="23"/>
      <c r="G18" s="23">
        <f t="shared" si="1"/>
        <v>11875.803062196774</v>
      </c>
      <c r="H18" s="23">
        <f t="shared" si="1"/>
        <v>2096.3490689159075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3.602278763836007E-3</v>
      </c>
      <c r="H50" s="319">
        <f t="shared" si="2"/>
        <v>0</v>
      </c>
      <c r="I50" s="319">
        <f t="shared" si="2"/>
        <v>0</v>
      </c>
      <c r="J50" s="319">
        <f t="shared" si="2"/>
        <v>0</v>
      </c>
      <c r="K50" s="319">
        <f t="shared" si="2"/>
        <v>0</v>
      </c>
      <c r="L50" s="319">
        <f t="shared" si="2"/>
        <v>0</v>
      </c>
      <c r="M50" s="319">
        <f t="shared" si="2"/>
        <v>2.0589528985657312E-4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3.602278763836007E-3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2.0589528985657312E-4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1000.6329899544464</v>
      </c>
      <c r="H54" s="21">
        <f t="shared" si="3"/>
        <v>0</v>
      </c>
      <c r="I54" s="21">
        <f t="shared" si="3"/>
        <v>0</v>
      </c>
      <c r="J54" s="21">
        <f t="shared" si="3"/>
        <v>0</v>
      </c>
      <c r="K54" s="21">
        <f t="shared" si="3"/>
        <v>0</v>
      </c>
      <c r="L54" s="21">
        <f t="shared" si="3"/>
        <v>0</v>
      </c>
      <c r="M54" s="21">
        <f t="shared" si="3"/>
        <v>57.193136071270317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0.20106622571988211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267.16900831783721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5682.2360397357024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5682.2360397357024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2020-06-20T16:07:35Z</dcterms:modified>
</cp:coreProperties>
</file>