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F20" i="18" l="1"/>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P13" i="14"/>
  <c r="O8" i="48"/>
  <c r="O26"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<sst xmlns="http://schemas.openxmlformats.org/spreadsheetml/2006/main" count="2434" uniqueCount="913">
  <si>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</si>
  <si>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</si>
  <si>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</si>
  <si>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</si>
  <si>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</si>
  <si>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</si>
  <si>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</si>
  <si>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</si>
  <si>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</si>
  <si>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</si>
  <si>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</si>
  <si>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</si>
  <si>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</si>
  <si>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</si>
  <si>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</si>
  <si>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</si>
  <si>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</si>
  <si>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</si>
  <si>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</si>
  <si>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</si>
  <si>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</si>
  <si>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</si>
  <si>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</si>
  <si>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</si>
  <si>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</si>
  <si>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</si>
  <si>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</si>
  <si>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</si>
  <si>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</si>
  <si>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</si>
  <si>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</si>
  <si>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</si>
  <si>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</si>
  <si>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</si>
  <si>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</si>
  <si>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</si>
  <si>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</si>
  <si>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</si>
  <si>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</si>
  <si>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</si>
  <si>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</si>
  <si>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</si>
  <si>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</si>
  <si>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</si>
  <si>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</si>
  <si>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</si>
  <si>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</si>
  <si>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</si>
  <si>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</si>
  <si>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</si>
  <si>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</si>
  <si>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</si>
  <si>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</si>
  <si>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</si>
  <si>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</si>
  <si>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</si>
  <si>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</si>
  <si>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</si>
  <si>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</si>
  <si>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</si>
  <si>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</si>
  <si>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</si>
  <si>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</si>
  <si>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</si>
  <si>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</si>
  <si>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</si>
  <si>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</si>
  <si>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</si>
  <si>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</si>
  <si>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</si>
  <si>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</si>
  <si>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</si>
  <si>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</si>
  <si>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</si>
  <si>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</si>
  <si>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</si>
  <si>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</si>
  <si>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</si>
  <si>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</si>
  <si>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</si>
  <si>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</si>
  <si>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</si>
  <si>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</si>
  <si>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</si>
  <si>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</si>
  <si>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</si>
  <si>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</si>
  <si>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</si>
  <si>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</si>
  <si>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</si>
  <si>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</si>
  <si>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</si>
  <si>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</si>
  <si>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</si>
  <si>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</si>
  <si>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</si>
  <si>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</si>
  <si>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</si>
  <si>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</si>
  <si>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</si>
  <si>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</si>
  <si>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</si>
  <si>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</si>
  <si>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</si>
  <si>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</si>
  <si>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</si>
  <si>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</si>
  <si>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</si>
  <si>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</si>
  <si>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</si>
  <si>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</si>
  <si>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</si>
  <si>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</si>
  <si>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</si>
  <si>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</si>
  <si>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</si>
  <si>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</si>
  <si>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</si>
  <si>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</si>
  <si>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</si>
  <si>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</si>
  <si>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</si>
  <si>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</si>
  <si>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</si>
  <si>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</si>
  <si>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</si>
  <si>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</si>
  <si>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</si>
  <si>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</si>
  <si>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</si>
  <si>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</si>
  <si>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</si>
  <si>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</si>
  <si>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</si>
  <si>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</si>
  <si>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</si>
  <si>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</si>
  <si>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</si>
  <si>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</si>
  <si>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</si>
  <si>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</si>
  <si>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</si>
  <si>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</si>
  <si>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</si>
  <si>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</si>
  <si>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</si>
  <si>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</si>
  <si>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</si>
  <si>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</si>
  <si>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</si>
  <si>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</si>
  <si>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</si>
  <si>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</si>
  <si>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</si>
  <si>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</si>
  <si>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</si>
  <si>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</si>
  <si>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</si>
  <si>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</si>
  <si>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</si>
  <si>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</si>
  <si>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</si>
  <si>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</si>
  <si>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</si>
  <si>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</si>
  <si>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</si>
  <si>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</si>
  <si>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</si>
  <si>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</si>
  <si>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</si>
  <si>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</si>
  <si>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</si>
  <si>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</si>
  <si>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</si>
  <si>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</si>
  <si>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</si>
  <si>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</si>
  <si>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</si>
  <si>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</si>
  <si>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</si>
  <si>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</si>
  <si>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</si>
  <si>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</si>
  <si>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</si>
  <si>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</si>
  <si>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</si>
  <si>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</si>
  <si>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</si>
  <si>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</si>
  <si>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</si>
  <si>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</si>
  <si>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</si>
  <si>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</si>
  <si>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</si>
  <si>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</si>
  <si>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</si>
  <si>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</si>
  <si>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</si>
  <si>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</si>
  <si>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</si>
  <si>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</si>
  <si>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</si>
  <si>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</si>
  <si>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</si>
  <si>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</si>
  <si>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</si>
  <si>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</si>
  <si>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</si>
  <si>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</si>
  <si>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</si>
  <si>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</si>
  <si>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</si>
  <si>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</si>
  <si>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</si>
  <si>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</si>
  <si>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</si>
  <si>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</si>
  <si>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</si>
  <si>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</si>
  <si>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</si>
  <si>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</si>
  <si>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</si>
  <si>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</si>
  <si>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</si>
  <si>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</si>
  <si>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</si>
  <si>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</si>
  <si>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</si>
  <si>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</si>
  <si>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</si>
  <si>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</si>
  <si>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</si>
  <si>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</si>
  <si>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</si>
  <si>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</si>
  <si>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</si>
  <si>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</si>
  <si>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</si>
  <si>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</si>
  <si>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</si>
  <si>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</si>
  <si>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</si>
  <si>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</si>
  <si>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</si>
  <si>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</si>
  <si>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</si>
  <si>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</si>
  <si>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</si>
  <si>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</si>
  <si>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</si>
  <si>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</si>
  <si>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</si>
  <si>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</si>
  <si>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</si>
  <si>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</si>
  <si>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</si>
  <si>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</si>
  <si>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</si>
  <si>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</si>
  <si>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</si>
  <si>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</si>
  <si>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</si>
  <si>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</si>
  <si>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</si>
  <si>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</si>
  <si>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</si>
  <si>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</si>
  <si>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</si>
  <si>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</si>
  <si>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</si>
  <si>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</si>
  <si>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</si>
  <si>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</si>
  <si>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</si>
  <si>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</si>
  <si>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</si>
  <si>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</si>
  <si>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</si>
  <si>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</si>
  <si>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</si>
  <si>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</si>
  <si>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</si>
  <si>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</si>
  <si>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</si>
  <si>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</si>
  <si>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</si>
  <si>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</si>
  <si>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</si>
  <si>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</si>
  <si>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</si>
  <si>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</si>
  <si>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</si>
  <si>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</si>
  <si>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</si>
  <si>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</si>
  <si>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</si>
  <si>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</si>
  <si>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</si>
  <si>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</si>
  <si>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</si>
  <si>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</si>
  <si>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</si>
  <si>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</si>
  <si>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</si>
  <si>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</si>
  <si>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</si>
  <si>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</si>
  <si>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</si>
  <si>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</si>
  <si>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</si>
  <si>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</si>
  <si>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</si>
  <si>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</si>
  <si>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</si>
  <si>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</si>
  <si>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</si>
  <si>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</si>
  <si>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</si>
  <si>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</si>
  <si>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</si>
  <si>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</si>
  <si>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</si>
  <si>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</si>
  <si>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</si>
  <si>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</si>
  <si>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</si>
  <si>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</si>
  <si>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</si>
  <si>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</si>
  <si>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</si>
  <si>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</si>
  <si>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</si>
  <si>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</si>
  <si>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</si>
  <si>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</si>
  <si>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</si>
  <si>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</si>
  <si>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</si>
  <si>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</si>
  <si>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</si>
  <si>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</si>
  <si>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</si>
  <si>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</si>
  <si>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</si>
  <si>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</si>
  <si>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</si>
  <si>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</si>
  <si>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</si>
  <si>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</si>
  <si>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</si>
  <si>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</si>
  <si>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</si>
  <si>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</si>
  <si>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</si>
  <si>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</si>
  <si>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</si>
  <si>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</si>
  <si>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</si>
  <si>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</si>
  <si>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</si>
  <si>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</si>
  <si>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</si>
  <si>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</si>
  <si>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</si>
  <si>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</si>
  <si>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</si>
  <si>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</si>
  <si>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</si>
  <si>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</si>
  <si>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</si>
  <si>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</si>
  <si>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</si>
  <si>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</si>
  <si>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</si>
  <si>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</si>
  <si>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</si>
  <si>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</si>
  <si>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</si>
  <si>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</si>
  <si>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</si>
  <si>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</si>
  <si>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</si>
  <si>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</si>
  <si>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</si>
  <si>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</si>
  <si>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</si>
  <si>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</si>
  <si>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</si>
  <si>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</si>
  <si>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</si>
  <si>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</si>
  <si>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</si>
  <si>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</si>
  <si>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</si>
  <si>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</si>
  <si>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</si>
  <si>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</si>
  <si>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</si>
  <si>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</si>
  <si>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</si>
  <si>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</si>
  <si>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</si>
  <si>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</si>
  <si>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</si>
  <si>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</si>
  <si>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</si>
  <si>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</si>
  <si>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</si>
  <si>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</si>
  <si>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</si>
  <si>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</si>
  <si>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</si>
  <si>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</si>
  <si>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</si>
  <si>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</si>
  <si>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</si>
  <si>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</si>
  <si>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</si>
  <si>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</si>
  <si>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</si>
  <si>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</si>
  <si>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</si>
  <si>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</si>
  <si>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</si>
  <si>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</si>
  <si>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</si>
  <si>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</si>
  <si>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</si>
  <si>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</si>
  <si>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</si>
  <si>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</si>
  <si>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</si>
  <si>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</si>
  <si>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</si>
  <si>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</si>
  <si>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</si>
  <si>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</si>
  <si>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</si>
  <si>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</si>
  <si>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</si>
  <si>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</si>
  <si>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</si>
  <si>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</si>
  <si>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</si>
  <si>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</si>
  <si>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</si>
  <si>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</si>
  <si>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</si>
  <si>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</si>
  <si>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</si>
  <si>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</si>
  <si>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</si>
  <si>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</si>
  <si>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</si>
  <si>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</si>
  <si>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</si>
  <si>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</si>
  <si>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</si>
  <si>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</si>
  <si>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</si>
  <si>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</si>
  <si>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</si>
  <si>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</si>
  <si>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</si>
  <si>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</si>
  <si>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</si>
  <si>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</si>
  <si>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</si>
  <si>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</si>
  <si>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</si>
  <si>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</si>
  <si>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</si>
  <si>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</si>
  <si>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</si>
  <si>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</si>
  <si>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</si>
  <si>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</si>
  <si>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</si>
  <si>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</si>
  <si>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</si>
  <si>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</si>
  <si>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</si>
  <si>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</si>
  <si>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</si>
  <si>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</si>
  <si>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</si>
  <si>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</si>
  <si>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</si>
  <si>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</si>
  <si>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</si>
  <si>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</si>
  <si>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</si>
  <si>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</si>
  <si>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</si>
  <si>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</si>
  <si>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</si>
  <si>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</si>
  <si>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</si>
  <si>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</si>
  <si>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</si>
  <si>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</si>
  <si>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</si>
  <si>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</si>
  <si>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</si>
  <si>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</si>
  <si>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</si>
  <si>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</si>
  <si>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</si>
  <si>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</si>
  <si>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</si>
  <si>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</si>
  <si>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</si>
  <si>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</si>
  <si>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</si>
  <si>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</si>
  <si>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</si>
  <si>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</si>
  <si>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</si>
  <si>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</si>
  <si>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</si>
  <si>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</si>
  <si>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</si>
  <si>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</si>
  <si>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</si>
  <si>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</si>
  <si>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</si>
  <si>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</si>
  <si>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</si>
  <si>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</si>
  <si>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</si>
  <si>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</si>
  <si>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</si>
  <si>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</si>
  <si>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</si>
  <si>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</si>
  <si>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</si>
  <si>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</si>
  <si>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</si>
  <si>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</si>
  <si>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</si>
  <si>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</si>
  <si>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</si>
  <si>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</si>
  <si>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</si>
  <si>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</si>
  <si>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</si>
  <si>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</si>
  <si>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</si>
  <si>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</si>
  <si>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</si>
  <si>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</si>
  <si>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</si>
  <si>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</si>
  <si>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</si>
  <si>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</si>
  <si>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</si>
  <si>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</si>
  <si>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</si>
  <si>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</si>
  <si>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</si>
  <si>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</si>
  <si>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</si>
  <si>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</si>
  <si>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</si>
  <si>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</si>
  <si>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</si>
  <si>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</si>
  <si>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</si>
  <si>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</si>
  <si>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</si>
  <si>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</si>
  <si>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</si>
  <si>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</si>
  <si>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</si>
  <si>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</si>
  <si>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</si>
  <si>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</si>
  <si>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</si>
  <si>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</si>
  <si>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</si>
  <si>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</si>
  <si>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</si>
  <si>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</si>
  <si>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</si>
  <si>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</si>
  <si>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</si>
  <si>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</si>
  <si>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</si>
  <si>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</si>
  <si>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</si>
  <si>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</si>
  <si>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</si>
  <si>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</si>
  <si>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</si>
  <si>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</si>
  <si>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</si>
  <si>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</si>
  <si>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</si>
  <si>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</si>
  <si>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</si>
  <si>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</si>
  <si>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</si>
  <si>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</si>
  <si>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</si>
  <si>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</si>
  <si>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</si>
  <si>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</si>
  <si>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</si>
  <si>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</si>
  <si>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</si>
  <si>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</si>
  <si>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</si>
  <si>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</si>
  <si>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</si>
  <si>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</si>
  <si>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</si>
  <si>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</si>
  <si>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</si>
  <si>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</si>
  <si>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</si>
  <si>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</si>
  <si>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</si>
  <si>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</si>
  <si>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</si>
  <si>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</si>
  <si>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</si>
  <si>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</si>
  <si>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</si>
  <si>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</si>
  <si>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</si>
  <si>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</si>
  <si>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</si>
  <si>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</si>
  <si>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</si>
  <si>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</si>
  <si>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</si>
  <si>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</si>
  <si>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</si>
  <si>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</si>
  <si>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</si>
  <si>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</si>
  <si>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</si>
  <si>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</si>
  <si>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</si>
  <si>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</si>
  <si>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</si>
  <si>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</si>
  <si>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</si>
  <si>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</si>
  <si>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</si>
  <si>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</si>
  <si>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</si>
  <si>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</si>
  <si>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</si>
  <si>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</si>
  <si>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</si>
  <si>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</si>
  <si>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</si>
  <si>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</si>
  <si>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</si>
  <si>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</si>
  <si>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</si>
  <si>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</si>
  <si>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</si>
  <si>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</si>
  <si>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</si>
  <si>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</si>
  <si>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</si>
  <si>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</si>
  <si>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</si>
  <si>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</si>
  <si>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</si>
  <si>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</si>
  <si>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</si>
  <si>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</si>
  <si>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</si>
  <si>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</si>
  <si>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</si>
  <si>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</si>
  <si>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</si>
  <si>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</si>
  <si>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</si>
  <si>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</si>
  <si>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</si>
  <si>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</si>
  <si>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</si>
  <si>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</si>
  <si>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</si>
  <si>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</si>
  <si>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</si>
  <si>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</si>
  <si>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</si>
  <si>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</si>
  <si>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</si>
  <si>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</si>
  <si>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</si>
  <si>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</si>
  <si>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</si>
  <si>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</si>
  <si>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</si>
  <si>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</si>
  <si>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</si>
  <si>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</si>
  <si>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</si>
  <si>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</si>
  <si>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</si>
  <si>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</si>
  <si>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</si>
  <si>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</si>
  <si>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</si>
  <si>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</si>
  <si>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</si>
  <si>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</si>
  <si>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</si>
  <si>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</si>
  <si>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</si>
  <si>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</si>
  <si>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</si>
  <si>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</si>
  <si>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</si>
  <si>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</si>
  <si>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</si>
  <si>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</si>
  <si>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</si>
  <si>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</si>
  <si>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</si>
  <si>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</si>
  <si>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</si>
  <si>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</si>
  <si>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</si>
  <si>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</si>
  <si>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</si>
  <si>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</si>
  <si>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</si>
  <si>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</si>
  <si>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</si>
  <si>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</si>
  <si>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</si>
  <si>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</si>
  <si>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</si>
  <si>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</si>
  <si>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</si>
  <si>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</si>
  <si>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</si>
  <si>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</si>
  <si>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</si>
  <si>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</si>
  <si>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</si>
  <si>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</si>
  <si>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</si>
  <si>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</si>
  <si>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</si>
  <si>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</si>
  <si>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</si>
  <si>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</si>
  <si>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</si>
  <si>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</si>
  <si>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</si>
  <si>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</si>
  <si>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</si>
  <si>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</si>
  <si>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</si>
  <si>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</si>
  <si>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</si>
  <si>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</si>
  <si>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</si>
  <si>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</si>
  <si>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</si>
  <si>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</si>
  <si>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</si>
  <si>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</si>
  <si>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</si>
  <si>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</si>
  <si>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</si>
  <si>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</si>
  <si>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</si>
  <si>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</si>
  <si>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</si>
  <si>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</si>
  <si>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</si>
  <si>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</si>
  <si>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</si>
  <si>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</si>
  <si>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</si>
  <si>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</si>
  <si>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</si>
  <si>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</si>
  <si>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</si>
  <si>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</si>
  <si>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</si>
  <si>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</si>
  <si>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</si>
  <si>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</si>
  <si>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</si>
  <si>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</si>
  <si>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</si>
  <si>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</si>
  <si>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</si>
  <si>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</si>
  <si>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</si>
  <si>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</si>
  <si>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</si>
  <si>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</si>
  <si>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</si>
  <si>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</si>
  <si>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</si>
  <si>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</si>
  <si>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</si>
  <si>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</si>
  <si>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</si>
  <si>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</si>
  <si>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</si>
  <si>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</si>
  <si>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</si>
  <si>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</si>
  <si>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</si>
  <si>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</si>
  <si>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</si>
  <si>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</si>
  <si>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</si>
  <si>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</si>
  <si>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</si>
  <si>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</si>
  <si>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</si>
  <si>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</si>
  <si>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</si>
  <si>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</si>
  <si>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</si>
  <si>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</si>
  <si>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</si>
  <si>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</si>
  <si>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</si>
  <si>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</si>
  <si>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</si>
  <si>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</si>
  <si>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</si>
  <si>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</si>
  <si>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</si>
  <si>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</si>
  <si>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</si>
  <si>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</si>
  <si>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</si>
  <si>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</si>
  <si>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</si>
  <si>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</si>
  <si>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</si>
  <si>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</si>
  <si>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</si>
  <si>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</si>
  <si>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</si>
  <si>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</si>
  <si>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</si>
  <si>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</si>
  <si>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</si>
  <si>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</si>
  <si>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</si>
  <si>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</si>
  <si>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</si>
  <si>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</si>
  <si>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</si>
  <si>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</si>
  <si>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</si>
  <si>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</si>
  <si>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</si>
  <si>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</si>
  <si>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</si>
  <si>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</si>
  <si>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</si>
  <si>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</si>
  <si>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</si>
  <si>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</si>
  <si>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</si>
  <si>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</si>
  <si>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</si>
  <si>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</si>
  <si>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</si>
  <si>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</si>
  <si>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</si>
  <si>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</si>
  <si>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</si>
  <si>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</si>
  <si>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</si>
  <si>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</si>
  <si>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</si>
  <si>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</si>
  <si>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</si>
  <si>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</si>
  <si>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</si>
  <si>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</si>
  <si>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</si>
  <si>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</si>
  <si>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</si>
  <si>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</si>
  <si>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</si>
  <si>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</si>
  <si>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</si>
  <si>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</si>
  <si>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</si>
  <si>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</si>
  <si>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</si>
  <si>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</si>
  <si>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</si>
  <si>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</si>
  <si>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</si>
  <si>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</si>
  <si>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</si>
  <si>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</si>
  <si>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34002</t>
  </si>
  <si>
    <t>ANZEGEM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</si>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</sst>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123893.29747695065</c:v>
                </c:pt>
                <c:pt idx="1">
                  <c:v>22460.036790249418</c:v>
                </c:pt>
                <c:pt idx="2">
                  <c:v>1312.73</c:v>
                </c:pt>
                <c:pt idx="3">
                  <c:v>6422.6952594824252</c:v>
                </c:pt>
                <c:pt idx="4">
                  <c:v>64129.825684049203</c:v>
                </c:pt>
                <c:pt idx="5">
                  <c:v>58177.288558108819</c:v>
                </c:pt>
                <c:pt idx="6">
                  <c:v>864.77623398647393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123893.29747695065</c:v>
                </c:pt>
                <c:pt idx="1">
                  <c:v>22460.036790249418</c:v>
                </c:pt>
                <c:pt idx="2">
                  <c:v>1312.73</c:v>
                </c:pt>
                <c:pt idx="3">
                  <c:v>6422.6952594824252</c:v>
                </c:pt>
                <c:pt idx="4">
                  <c:v>64129.825684049203</c:v>
                </c:pt>
                <c:pt idx="5">
                  <c:v>58177.288558108819</c:v>
                </c:pt>
                <c:pt idx="6">
                  <c:v>864.77623398647393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25859.099634510752</c:v>
                </c:pt>
                <c:pt idx="2">
                  <c:v>4417.7657980260283</c:v>
                </c:pt>
                <c:pt idx="3">
                  <c:v>253.42837229670735</c:v>
                </c:pt>
                <c:pt idx="4">
                  <c:v>1606.4260362327275</c:v>
                </c:pt>
                <c:pt idx="5">
                  <c:v>12967.001976524729</c:v>
                </c:pt>
                <c:pt idx="6">
                  <c:v>14588.146820644222</c:v>
                </c:pt>
                <c:pt idx="7">
                  <c:v>218.41151694657933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25859.099634510752</c:v>
                </c:pt>
                <c:pt idx="2">
                  <c:v>4417.7657980260283</c:v>
                </c:pt>
                <c:pt idx="3">
                  <c:v>253.42837229670735</c:v>
                </c:pt>
                <c:pt idx="4">
                  <c:v>1606.4260362327275</c:v>
                </c:pt>
                <c:pt idx="5">
                  <c:v>12967.001976524729</c:v>
                </c:pt>
                <c:pt idx="6">
                  <c:v>14588.146820644222</c:v>
                </c:pt>
                <c:pt idx="7">
                  <c:v>218.41151694657933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34002</v>
      </c>
      <c r="B6" s="391"/>
      <c r="C6" s="392"/>
    </row>
    <row r="7" spans="1:7" s="389" customFormat="1" ht="15.75" customHeight="1">
      <c r="A7" s="393" t="str">
        <f>txtMunicipality</f>
        <v>ANZEGEM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0.19305445315998518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0.19305445315998518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5766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2706</v>
      </c>
      <c r="C14" s="330"/>
      <c r="D14" s="330"/>
      <c r="E14" s="330"/>
      <c r="F14" s="330"/>
    </row>
    <row r="15" spans="1:6">
      <c r="A15" s="1305" t="s">
        <v>183</v>
      </c>
      <c r="B15" s="1306">
        <v>32</v>
      </c>
      <c r="C15" s="330"/>
      <c r="D15" s="330"/>
      <c r="E15" s="330"/>
      <c r="F15" s="330"/>
    </row>
    <row r="16" spans="1:6">
      <c r="A16" s="1305" t="s">
        <v>6</v>
      </c>
      <c r="B16" s="1306">
        <v>962</v>
      </c>
      <c r="C16" s="330"/>
      <c r="D16" s="330"/>
      <c r="E16" s="330"/>
      <c r="F16" s="330"/>
    </row>
    <row r="17" spans="1:6">
      <c r="A17" s="1305" t="s">
        <v>7</v>
      </c>
      <c r="B17" s="1306">
        <v>768</v>
      </c>
      <c r="C17" s="330"/>
      <c r="D17" s="330"/>
      <c r="E17" s="330"/>
      <c r="F17" s="330"/>
    </row>
    <row r="18" spans="1:6">
      <c r="A18" s="1305" t="s">
        <v>8</v>
      </c>
      <c r="B18" s="1306">
        <v>1052</v>
      </c>
      <c r="C18" s="330"/>
      <c r="D18" s="330"/>
      <c r="E18" s="330"/>
      <c r="F18" s="330"/>
    </row>
    <row r="19" spans="1:6">
      <c r="A19" s="1305" t="s">
        <v>9</v>
      </c>
      <c r="B19" s="1306">
        <v>1193</v>
      </c>
      <c r="C19" s="330"/>
      <c r="D19" s="330"/>
      <c r="E19" s="330"/>
      <c r="F19" s="330"/>
    </row>
    <row r="20" spans="1:6">
      <c r="A20" s="1305" t="s">
        <v>10</v>
      </c>
      <c r="B20" s="1306">
        <v>813</v>
      </c>
      <c r="C20" s="330"/>
      <c r="D20" s="330"/>
      <c r="E20" s="330"/>
      <c r="F20" s="330"/>
    </row>
    <row r="21" spans="1:6">
      <c r="A21" s="1305" t="s">
        <v>11</v>
      </c>
      <c r="B21" s="1306">
        <v>3234</v>
      </c>
      <c r="C21" s="330"/>
      <c r="D21" s="330"/>
      <c r="E21" s="330"/>
      <c r="F21" s="330"/>
    </row>
    <row r="22" spans="1:6">
      <c r="A22" s="1305" t="s">
        <v>12</v>
      </c>
      <c r="B22" s="1306">
        <v>11844</v>
      </c>
      <c r="C22" s="330"/>
      <c r="D22" s="330"/>
      <c r="E22" s="330"/>
      <c r="F22" s="330"/>
    </row>
    <row r="23" spans="1:6">
      <c r="A23" s="1305" t="s">
        <v>13</v>
      </c>
      <c r="B23" s="1306">
        <v>108</v>
      </c>
      <c r="C23" s="330"/>
      <c r="D23" s="330"/>
      <c r="E23" s="330"/>
      <c r="F23" s="330"/>
    </row>
    <row r="24" spans="1:6">
      <c r="A24" s="1305" t="s">
        <v>14</v>
      </c>
      <c r="B24" s="1306">
        <v>9</v>
      </c>
      <c r="C24" s="330"/>
      <c r="D24" s="330"/>
      <c r="E24" s="330"/>
      <c r="F24" s="330"/>
    </row>
    <row r="25" spans="1:6">
      <c r="A25" s="1305" t="s">
        <v>15</v>
      </c>
      <c r="B25" s="1306">
        <v>905</v>
      </c>
      <c r="C25" s="330"/>
      <c r="D25" s="330"/>
      <c r="E25" s="330"/>
      <c r="F25" s="330"/>
    </row>
    <row r="26" spans="1:6">
      <c r="A26" s="1305" t="s">
        <v>16</v>
      </c>
      <c r="B26" s="1306">
        <v>314</v>
      </c>
      <c r="C26" s="330"/>
      <c r="D26" s="330"/>
      <c r="E26" s="330"/>
      <c r="F26" s="330"/>
    </row>
    <row r="27" spans="1:6">
      <c r="A27" s="1305" t="s">
        <v>17</v>
      </c>
      <c r="B27" s="1306">
        <v>2</v>
      </c>
      <c r="C27" s="330"/>
      <c r="D27" s="330"/>
      <c r="E27" s="330"/>
      <c r="F27" s="330"/>
    </row>
    <row r="28" spans="1:6" s="43" customFormat="1">
      <c r="A28" s="1307" t="s">
        <v>18</v>
      </c>
      <c r="B28" s="1308">
        <v>190319</v>
      </c>
      <c r="C28" s="336"/>
      <c r="D28" s="336"/>
      <c r="E28" s="336"/>
      <c r="F28" s="336"/>
    </row>
    <row r="29" spans="1:6">
      <c r="A29" s="1307" t="s">
        <v>909</v>
      </c>
      <c r="B29" s="1308">
        <v>57</v>
      </c>
      <c r="C29" s="336"/>
      <c r="D29" s="336"/>
      <c r="E29" s="336"/>
      <c r="F29" s="336"/>
    </row>
    <row r="30" spans="1:6">
      <c r="A30" s="1300" t="s">
        <v>910</v>
      </c>
      <c r="B30" s="1309">
        <v>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25</v>
      </c>
      <c r="D36" s="1306">
        <v>1843126.5915505199</v>
      </c>
      <c r="E36" s="1306">
        <v>73</v>
      </c>
      <c r="F36" s="1306">
        <v>712954.6</v>
      </c>
    </row>
    <row r="37" spans="1:6">
      <c r="A37" s="1305" t="s">
        <v>24</v>
      </c>
      <c r="B37" s="1305" t="s">
        <v>27</v>
      </c>
      <c r="C37" s="1306">
        <v>0</v>
      </c>
      <c r="D37" s="1306">
        <v>0</v>
      </c>
      <c r="E37" s="1306">
        <v>0</v>
      </c>
      <c r="F37" s="1306">
        <v>0</v>
      </c>
    </row>
    <row r="38" spans="1:6">
      <c r="A38" s="1305" t="s">
        <v>24</v>
      </c>
      <c r="B38" s="1305" t="s">
        <v>28</v>
      </c>
      <c r="C38" s="1306">
        <v>2</v>
      </c>
      <c r="D38" s="1306">
        <v>81772.153357358198</v>
      </c>
      <c r="E38" s="1306">
        <v>0</v>
      </c>
      <c r="F38" s="1306">
        <v>0</v>
      </c>
    </row>
    <row r="39" spans="1:6">
      <c r="A39" s="1305" t="s">
        <v>29</v>
      </c>
      <c r="B39" s="1305" t="s">
        <v>30</v>
      </c>
      <c r="C39" s="1306">
        <v>2142</v>
      </c>
      <c r="D39" s="1306">
        <v>29935901.1667253</v>
      </c>
      <c r="E39" s="1306">
        <v>5517</v>
      </c>
      <c r="F39" s="1306">
        <v>27092196</v>
      </c>
    </row>
    <row r="40" spans="1:6">
      <c r="A40" s="1305" t="s">
        <v>29</v>
      </c>
      <c r="B40" s="1305" t="s">
        <v>28</v>
      </c>
      <c r="C40" s="1306">
        <v>0</v>
      </c>
      <c r="D40" s="1306">
        <v>0</v>
      </c>
      <c r="E40" s="1306">
        <v>0</v>
      </c>
      <c r="F40" s="1306">
        <v>0</v>
      </c>
    </row>
    <row r="41" spans="1:6">
      <c r="A41" s="1305" t="s">
        <v>31</v>
      </c>
      <c r="B41" s="1305" t="s">
        <v>32</v>
      </c>
      <c r="C41" s="1306">
        <v>53</v>
      </c>
      <c r="D41" s="1306">
        <v>895647.25972471503</v>
      </c>
      <c r="E41" s="1306">
        <v>193</v>
      </c>
      <c r="F41" s="1306">
        <v>2801765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62785.032827172501</v>
      </c>
      <c r="E44" s="1306">
        <v>17</v>
      </c>
      <c r="F44" s="1306">
        <v>518893.1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117383.415028659</v>
      </c>
      <c r="E47" s="1306">
        <v>3</v>
      </c>
      <c r="F47" s="1306">
        <v>58923.55</v>
      </c>
    </row>
    <row r="48" spans="1:6">
      <c r="A48" s="1305" t="s">
        <v>31</v>
      </c>
      <c r="B48" s="1305" t="s">
        <v>28</v>
      </c>
      <c r="C48" s="1306">
        <v>42</v>
      </c>
      <c r="D48" s="1306">
        <v>12269822.294962199</v>
      </c>
      <c r="E48" s="1306">
        <v>49</v>
      </c>
      <c r="F48" s="1306">
        <v>23244128</v>
      </c>
    </row>
    <row r="49" spans="1:6">
      <c r="A49" s="1305" t="s">
        <v>31</v>
      </c>
      <c r="B49" s="1305" t="s">
        <v>39</v>
      </c>
      <c r="C49" s="1306">
        <v>0</v>
      </c>
      <c r="D49" s="1306">
        <v>0</v>
      </c>
      <c r="E49" s="1306">
        <v>32</v>
      </c>
      <c r="F49" s="1306">
        <v>4693469</v>
      </c>
    </row>
    <row r="50" spans="1:6">
      <c r="A50" s="1305" t="s">
        <v>31</v>
      </c>
      <c r="B50" s="1305" t="s">
        <v>40</v>
      </c>
      <c r="C50" s="1306">
        <v>0</v>
      </c>
      <c r="D50" s="1306">
        <v>0</v>
      </c>
      <c r="E50" s="1306">
        <v>15</v>
      </c>
      <c r="F50" s="1306">
        <v>2685529</v>
      </c>
    </row>
    <row r="51" spans="1:6">
      <c r="A51" s="1305" t="s">
        <v>41</v>
      </c>
      <c r="B51" s="1305" t="s">
        <v>42</v>
      </c>
      <c r="C51" s="1306">
        <v>0</v>
      </c>
      <c r="D51" s="1306">
        <v>0</v>
      </c>
      <c r="E51" s="1306">
        <v>92</v>
      </c>
      <c r="F51" s="1306">
        <v>1303336</v>
      </c>
    </row>
    <row r="52" spans="1:6">
      <c r="A52" s="1305" t="s">
        <v>41</v>
      </c>
      <c r="B52" s="1305" t="s">
        <v>28</v>
      </c>
      <c r="C52" s="1306">
        <v>4</v>
      </c>
      <c r="D52" s="1306">
        <v>58893.819744226203</v>
      </c>
      <c r="E52" s="1306">
        <v>19</v>
      </c>
      <c r="F52" s="1306">
        <v>418280</v>
      </c>
    </row>
    <row r="53" spans="1:6">
      <c r="A53" s="1305" t="s">
        <v>43</v>
      </c>
      <c r="B53" s="1305" t="s">
        <v>44</v>
      </c>
      <c r="C53" s="1306">
        <v>58</v>
      </c>
      <c r="D53" s="1306">
        <v>936880.47076992004</v>
      </c>
      <c r="E53" s="1306">
        <v>183</v>
      </c>
      <c r="F53" s="1306">
        <v>858271.6</v>
      </c>
    </row>
    <row r="54" spans="1:6">
      <c r="A54" s="1305" t="s">
        <v>45</v>
      </c>
      <c r="B54" s="1305" t="s">
        <v>46</v>
      </c>
      <c r="C54" s="1306">
        <v>0</v>
      </c>
      <c r="D54" s="1306">
        <v>0</v>
      </c>
      <c r="E54" s="1306">
        <v>1</v>
      </c>
      <c r="F54" s="1306">
        <v>1312730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13</v>
      </c>
      <c r="D57" s="1306">
        <v>231763.244395947</v>
      </c>
      <c r="E57" s="1306">
        <v>53</v>
      </c>
      <c r="F57" s="1306">
        <v>382272.1</v>
      </c>
    </row>
    <row r="58" spans="1:6">
      <c r="A58" s="1305" t="s">
        <v>48</v>
      </c>
      <c r="B58" s="1305" t="s">
        <v>50</v>
      </c>
      <c r="C58" s="1306">
        <v>8</v>
      </c>
      <c r="D58" s="1306">
        <v>120697.12231130499</v>
      </c>
      <c r="E58" s="1306">
        <v>19</v>
      </c>
      <c r="F58" s="1306">
        <v>106207.5</v>
      </c>
    </row>
    <row r="59" spans="1:6">
      <c r="A59" s="1305" t="s">
        <v>48</v>
      </c>
      <c r="B59" s="1305" t="s">
        <v>51</v>
      </c>
      <c r="C59" s="1306">
        <v>23</v>
      </c>
      <c r="D59" s="1306">
        <v>538024.66388951498</v>
      </c>
      <c r="E59" s="1306">
        <v>136</v>
      </c>
      <c r="F59" s="1306">
        <v>5232730</v>
      </c>
    </row>
    <row r="60" spans="1:6">
      <c r="A60" s="1305" t="s">
        <v>48</v>
      </c>
      <c r="B60" s="1305" t="s">
        <v>52</v>
      </c>
      <c r="C60" s="1306">
        <v>18</v>
      </c>
      <c r="D60" s="1306">
        <v>546961.56044885702</v>
      </c>
      <c r="E60" s="1306">
        <v>53</v>
      </c>
      <c r="F60" s="1306">
        <v>1033523</v>
      </c>
    </row>
    <row r="61" spans="1:6">
      <c r="A61" s="1305" t="s">
        <v>48</v>
      </c>
      <c r="B61" s="1305" t="s">
        <v>53</v>
      </c>
      <c r="C61" s="1306">
        <v>98</v>
      </c>
      <c r="D61" s="1306">
        <v>3127390.8911633901</v>
      </c>
      <c r="E61" s="1306">
        <v>222</v>
      </c>
      <c r="F61" s="1306">
        <v>2620491</v>
      </c>
    </row>
    <row r="62" spans="1:6">
      <c r="A62" s="1305" t="s">
        <v>48</v>
      </c>
      <c r="B62" s="1305" t="s">
        <v>54</v>
      </c>
      <c r="C62" s="1306">
        <v>3</v>
      </c>
      <c r="D62" s="1306">
        <v>186535.12017269101</v>
      </c>
      <c r="E62" s="1306">
        <v>14</v>
      </c>
      <c r="F62" s="1306">
        <v>166907.20000000001</v>
      </c>
    </row>
    <row r="63" spans="1:6">
      <c r="A63" s="1305" t="s">
        <v>48</v>
      </c>
      <c r="B63" s="1305" t="s">
        <v>28</v>
      </c>
      <c r="C63" s="1306">
        <v>95</v>
      </c>
      <c r="D63" s="1306">
        <v>3596892.6492769402</v>
      </c>
      <c r="E63" s="1306">
        <v>156</v>
      </c>
      <c r="F63" s="1306">
        <v>2868629</v>
      </c>
    </row>
    <row r="64" spans="1:6">
      <c r="A64" s="1305" t="s">
        <v>55</v>
      </c>
      <c r="B64" s="1305" t="s">
        <v>56</v>
      </c>
      <c r="C64" s="1306">
        <v>0</v>
      </c>
      <c r="D64" s="1306">
        <v>0</v>
      </c>
      <c r="E64" s="1306">
        <v>0</v>
      </c>
      <c r="F64" s="1306">
        <v>0</v>
      </c>
    </row>
    <row r="65" spans="1:6">
      <c r="A65" s="1305" t="s">
        <v>55</v>
      </c>
      <c r="B65" s="1305" t="s">
        <v>28</v>
      </c>
      <c r="C65" s="1306">
        <v>2</v>
      </c>
      <c r="D65" s="1306">
        <v>144952.53021534299</v>
      </c>
      <c r="E65" s="1306">
        <v>5</v>
      </c>
      <c r="F65" s="1306">
        <v>15411.64</v>
      </c>
    </row>
    <row r="66" spans="1:6">
      <c r="A66" s="1305" t="s">
        <v>55</v>
      </c>
      <c r="B66" s="1305" t="s">
        <v>57</v>
      </c>
      <c r="C66" s="1306">
        <v>0</v>
      </c>
      <c r="D66" s="1306">
        <v>0</v>
      </c>
      <c r="E66" s="1306">
        <v>8</v>
      </c>
      <c r="F66" s="1306">
        <v>16264.86</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117511.3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47362342</v>
      </c>
      <c r="E73" s="450"/>
      <c r="F73" s="330"/>
    </row>
    <row r="74" spans="1:6">
      <c r="A74" s="1305" t="s">
        <v>63</v>
      </c>
      <c r="B74" s="1305" t="s">
        <v>710</v>
      </c>
      <c r="C74" s="1319" t="s">
        <v>712</v>
      </c>
      <c r="D74" s="1320">
        <v>5688902.6725837113</v>
      </c>
      <c r="E74" s="450"/>
      <c r="F74" s="330"/>
    </row>
    <row r="75" spans="1:6">
      <c r="A75" s="1305" t="s">
        <v>64</v>
      </c>
      <c r="B75" s="1305" t="s">
        <v>709</v>
      </c>
      <c r="C75" s="1319" t="s">
        <v>713</v>
      </c>
      <c r="D75" s="1320">
        <v>11882407</v>
      </c>
      <c r="E75" s="450"/>
      <c r="F75" s="330"/>
    </row>
    <row r="76" spans="1:6">
      <c r="A76" s="1305" t="s">
        <v>64</v>
      </c>
      <c r="B76" s="1305" t="s">
        <v>710</v>
      </c>
      <c r="C76" s="1319" t="s">
        <v>714</v>
      </c>
      <c r="D76" s="1320">
        <v>821590.67258371157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232192.6548325769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3179.2760275968258</v>
      </c>
      <c r="C91" s="330"/>
      <c r="D91" s="330"/>
      <c r="E91" s="330"/>
      <c r="F91" s="330"/>
    </row>
    <row r="92" spans="1:6">
      <c r="A92" s="1300" t="s">
        <v>68</v>
      </c>
      <c r="B92" s="1301">
        <v>7010.6389780713043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611</v>
      </c>
      <c r="C97" s="330"/>
      <c r="D97" s="330"/>
      <c r="E97" s="330"/>
      <c r="F97" s="330"/>
    </row>
    <row r="98" spans="1:6">
      <c r="A98" s="1305" t="s">
        <v>71</v>
      </c>
      <c r="B98" s="1306">
        <v>0</v>
      </c>
      <c r="C98" s="330"/>
      <c r="D98" s="330"/>
      <c r="E98" s="330"/>
      <c r="F98" s="330"/>
    </row>
    <row r="99" spans="1:6">
      <c r="A99" s="1305" t="s">
        <v>72</v>
      </c>
      <c r="B99" s="1306">
        <v>66</v>
      </c>
      <c r="C99" s="330"/>
      <c r="D99" s="330"/>
      <c r="E99" s="330"/>
      <c r="F99" s="330"/>
    </row>
    <row r="100" spans="1:6">
      <c r="A100" s="1305" t="s">
        <v>73</v>
      </c>
      <c r="B100" s="1306">
        <v>660</v>
      </c>
      <c r="C100" s="330"/>
      <c r="D100" s="330"/>
      <c r="E100" s="330"/>
      <c r="F100" s="330"/>
    </row>
    <row r="101" spans="1:6">
      <c r="A101" s="1305" t="s">
        <v>74</v>
      </c>
      <c r="B101" s="1306">
        <v>91</v>
      </c>
      <c r="C101" s="330"/>
      <c r="D101" s="330"/>
      <c r="E101" s="330"/>
      <c r="F101" s="330"/>
    </row>
    <row r="102" spans="1:6">
      <c r="A102" s="1305" t="s">
        <v>75</v>
      </c>
      <c r="B102" s="1306">
        <v>103</v>
      </c>
      <c r="C102" s="330"/>
      <c r="D102" s="330"/>
      <c r="E102" s="330"/>
      <c r="F102" s="330"/>
    </row>
    <row r="103" spans="1:6">
      <c r="A103" s="1305" t="s">
        <v>76</v>
      </c>
      <c r="B103" s="1306">
        <v>169</v>
      </c>
      <c r="C103" s="330"/>
      <c r="D103" s="330"/>
      <c r="E103" s="330"/>
      <c r="F103" s="330"/>
    </row>
    <row r="104" spans="1:6">
      <c r="A104" s="1305" t="s">
        <v>77</v>
      </c>
      <c r="B104" s="1306">
        <v>3410</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16</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128</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16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80584.260137936901</v>
      </c>
      <c r="C3" s="43" t="s">
        <v>169</v>
      </c>
      <c r="D3" s="43"/>
      <c r="E3" s="154"/>
      <c r="F3" s="43"/>
      <c r="G3" s="43"/>
      <c r="H3" s="43"/>
      <c r="I3" s="43"/>
      <c r="J3" s="43"/>
      <c r="K3" s="96"/>
    </row>
    <row r="4" spans="1:11">
      <c r="A4" s="359" t="s">
        <v>170</v>
      </c>
      <c r="B4" s="49">
        <f>IF(ISERROR('SEAP template'!B78+'SEAP template'!C78),0,'SEAP template'!B78+'SEAP template'!C78)</f>
        <v>10189.91500566813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0.19305445315998518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1312.73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1312.73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0.19305445315998518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253.42837229670735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27092.196</v>
      </c>
      <c r="C5" s="17">
        <f>IF(ISERROR('Eigen informatie GS &amp; warmtenet'!B57),0,'Eigen informatie GS &amp; warmtenet'!B57)</f>
        <v>0</v>
      </c>
      <c r="D5" s="30">
        <f>(SUM(HH_hh_gas_kWh,HH_rest_gas_kWh)/1000)*0.902</f>
        <v>27002.18285238622</v>
      </c>
      <c r="E5" s="17">
        <f>B46*B57</f>
        <v>9956.8323480871841</v>
      </c>
      <c r="F5" s="17">
        <f>B51*B62</f>
        <v>45494.218188043422</v>
      </c>
      <c r="G5" s="18"/>
      <c r="H5" s="17"/>
      <c r="I5" s="17"/>
      <c r="J5" s="17">
        <f>B50*B61+C50*C61</f>
        <v>433.50005782445686</v>
      </c>
      <c r="K5" s="17"/>
      <c r="L5" s="17"/>
      <c r="M5" s="17"/>
      <c r="N5" s="17">
        <f>B48*B59+C48*C59</f>
        <v>9899.8386696792186</v>
      </c>
      <c r="O5" s="17">
        <f>B69*B70*B71</f>
        <v>225.12000000000003</v>
      </c>
      <c r="P5" s="17">
        <f>B77*B78*B79/1000-B77*B78*B79/1000/B80</f>
        <v>610.13333333333333</v>
      </c>
    </row>
    <row r="6" spans="1:16">
      <c r="A6" s="16" t="s">
        <v>630</v>
      </c>
      <c r="B6" s="763">
        <f>kWh_PV_kleiner_dan_10kW</f>
        <v>3179.2760275968258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30271.472027596825</v>
      </c>
      <c r="C8" s="21">
        <f>C5</f>
        <v>0</v>
      </c>
      <c r="D8" s="21">
        <f>D5</f>
        <v>27002.18285238622</v>
      </c>
      <c r="E8" s="21">
        <f>E5</f>
        <v>9956.8323480871841</v>
      </c>
      <c r="F8" s="21">
        <f>F5</f>
        <v>45494.218188043422</v>
      </c>
      <c r="G8" s="21"/>
      <c r="H8" s="21"/>
      <c r="I8" s="21"/>
      <c r="J8" s="21">
        <f>J5</f>
        <v>433.50005782445686</v>
      </c>
      <c r="K8" s="21"/>
      <c r="L8" s="21">
        <f>L5</f>
        <v>0</v>
      </c>
      <c r="M8" s="21">
        <f>M5</f>
        <v>0</v>
      </c>
      <c r="N8" s="21">
        <f>N5</f>
        <v>9899.8386696792186</v>
      </c>
      <c r="O8" s="21">
        <f>O5</f>
        <v>225.12000000000003</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0.19305445315998518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5844.0424786354924</v>
      </c>
      <c r="C12" s="23">
        <f ca="1">C10*C8</f>
        <v>0</v>
      </c>
      <c r="D12" s="23">
        <f>D8*D10</f>
        <v>5454.4409361820171</v>
      </c>
      <c r="E12" s="23">
        <f>E10*E8</f>
        <v>2260.2009430157909</v>
      </c>
      <c r="F12" s="23">
        <f>F10*F8</f>
        <v>12146.956256207593</v>
      </c>
      <c r="G12" s="23"/>
      <c r="H12" s="23"/>
      <c r="I12" s="23"/>
      <c r="J12" s="23">
        <f>J10*J8</f>
        <v>153.45902046985773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5766</v>
      </c>
      <c r="C28" s="36"/>
      <c r="D28" s="228"/>
    </row>
    <row r="29" spans="1:7" s="15" customFormat="1">
      <c r="A29" s="230" t="s">
        <v>737</v>
      </c>
      <c r="B29" s="37">
        <f>SUM(HH_hh_gas_aantal,HH_rest_gas_aantal)</f>
        <v>2142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2142</v>
      </c>
      <c r="C32" s="167">
        <f>IF(ISERROR(B32/SUM($B$32,$B$34,$B$35,$B$36,$B$38,$B$39)*100),0,B32/SUM($B$32,$B$34,$B$35,$B$36,$B$38,$B$39)*100)</f>
        <v>37.356121381234743</v>
      </c>
      <c r="D32" s="233"/>
      <c r="G32" s="15"/>
    </row>
    <row r="33" spans="1:7">
      <c r="A33" s="171" t="s">
        <v>71</v>
      </c>
      <c r="B33" s="34" t="s">
        <v>110</v>
      </c>
      <c r="C33" s="167"/>
      <c r="D33" s="233"/>
      <c r="G33" s="15"/>
    </row>
    <row r="34" spans="1:7">
      <c r="A34" s="171" t="s">
        <v>72</v>
      </c>
      <c r="B34" s="33">
        <f>IF((($B$28-$B$32-$B$39-$B$77-$B$38)*C20/100)&lt;0,0,($B$28-$B$32-$B$39-$B$77-$B$38)*C20/100)</f>
        <v>124.7294981640147</v>
      </c>
      <c r="C34" s="167">
        <f>IF(ISERROR(B34/SUM($B$32,$B$34,$B$35,$B$36,$B$38,$B$39)*100),0,B34/SUM($B$32,$B$34,$B$35,$B$36,$B$38,$B$39)*100)</f>
        <v>2.1752615654693876</v>
      </c>
      <c r="D34" s="233"/>
      <c r="G34" s="15"/>
    </row>
    <row r="35" spans="1:7">
      <c r="A35" s="171" t="s">
        <v>73</v>
      </c>
      <c r="B35" s="33">
        <f>IF((($B$28-$B$32-$B$39-$B$77-$B$38)*C21/100)&lt;0,0,($B$28-$B$32-$B$39-$B$77-$B$38)*C21/100)</f>
        <v>1247.2949816401469</v>
      </c>
      <c r="C35" s="167">
        <f>IF(ISERROR(B35/SUM($B$32,$B$34,$B$35,$B$36,$B$38,$B$39)*100),0,B35/SUM($B$32,$B$34,$B$35,$B$36,$B$38,$B$39)*100)</f>
        <v>21.752615654693876</v>
      </c>
      <c r="D35" s="233"/>
      <c r="G35" s="15"/>
    </row>
    <row r="36" spans="1:7">
      <c r="A36" s="171" t="s">
        <v>74</v>
      </c>
      <c r="B36" s="33">
        <f>IF((($B$28-$B$32-$B$39-$B$77-$B$38)*C22/100)&lt;0,0,($B$28-$B$32-$B$39-$B$77-$B$38)*C22/100)</f>
        <v>171.97552019583844</v>
      </c>
      <c r="C36" s="167">
        <f>IF(ISERROR(B36/SUM($B$32,$B$34,$B$35,$B$36,$B$38,$B$39)*100),0,B36/SUM($B$32,$B$34,$B$35,$B$36,$B$38,$B$39)*100)</f>
        <v>2.9992242796623376</v>
      </c>
      <c r="D36" s="233"/>
      <c r="G36" s="15"/>
    </row>
    <row r="37" spans="1:7">
      <c r="A37" s="171" t="s">
        <v>75</v>
      </c>
      <c r="B37" s="34" t="s">
        <v>110</v>
      </c>
      <c r="C37" s="167"/>
      <c r="D37" s="173"/>
      <c r="G37" s="15"/>
    </row>
    <row r="38" spans="1:7">
      <c r="A38" s="171" t="s">
        <v>76</v>
      </c>
      <c r="B38" s="33">
        <f>IF((B24-(B29-B18)*0.1)&lt;0,0,B24-(B29-B18)*0.1)</f>
        <v>15.900000000000006</v>
      </c>
      <c r="C38" s="167">
        <f>IF(ISERROR(B38/SUM($B$32,$B$34,$B$35,$B$36,$B$38,$B$39)*100),0,B38/SUM($B$32,$B$34,$B$35,$B$36,$B$38,$B$39)*100)</f>
        <v>0.27729333798395545</v>
      </c>
      <c r="D38" s="234"/>
      <c r="G38" s="15"/>
    </row>
    <row r="39" spans="1:7">
      <c r="A39" s="171" t="s">
        <v>77</v>
      </c>
      <c r="B39" s="33">
        <f>IF((B25-(B29-B18))&lt;0,0,B25-(B29-B18)*0.9)</f>
        <v>2032.1</v>
      </c>
      <c r="C39" s="167">
        <f>IF(ISERROR(B39/SUM($B$32,$B$34,$B$35,$B$36,$B$38,$B$39)*100),0,B39/SUM($B$32,$B$34,$B$35,$B$36,$B$38,$B$39)*100)</f>
        <v>35.439483780955698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2142</v>
      </c>
      <c r="C44" s="34" t="s">
        <v>110</v>
      </c>
      <c r="D44" s="174"/>
    </row>
    <row r="45" spans="1:7">
      <c r="A45" s="171" t="s">
        <v>71</v>
      </c>
      <c r="B45" s="33" t="str">
        <f t="shared" si="0"/>
        <v>-</v>
      </c>
      <c r="C45" s="34" t="s">
        <v>110</v>
      </c>
      <c r="D45" s="174"/>
    </row>
    <row r="46" spans="1:7">
      <c r="A46" s="171" t="s">
        <v>72</v>
      </c>
      <c r="B46" s="33">
        <f t="shared" si="0"/>
        <v>124.7294981640147</v>
      </c>
      <c r="C46" s="34" t="s">
        <v>110</v>
      </c>
      <c r="D46" s="174"/>
    </row>
    <row r="47" spans="1:7">
      <c r="A47" s="171" t="s">
        <v>73</v>
      </c>
      <c r="B47" s="33">
        <f t="shared" si="0"/>
        <v>1247.2949816401469</v>
      </c>
      <c r="C47" s="34" t="s">
        <v>110</v>
      </c>
      <c r="D47" s="174"/>
    </row>
    <row r="48" spans="1:7">
      <c r="A48" s="171" t="s">
        <v>74</v>
      </c>
      <c r="B48" s="33">
        <f t="shared" si="0"/>
        <v>171.97552019583844</v>
      </c>
      <c r="C48" s="33">
        <f>B48*10</f>
        <v>1719.7552019583845</v>
      </c>
      <c r="D48" s="234"/>
    </row>
    <row r="49" spans="1:6">
      <c r="A49" s="171" t="s">
        <v>75</v>
      </c>
      <c r="B49" s="33" t="str">
        <f t="shared" si="0"/>
        <v>-</v>
      </c>
      <c r="C49" s="34" t="s">
        <v>110</v>
      </c>
      <c r="D49" s="234"/>
    </row>
    <row r="50" spans="1:6">
      <c r="A50" s="171" t="s">
        <v>76</v>
      </c>
      <c r="B50" s="33">
        <f t="shared" si="0"/>
        <v>15.900000000000006</v>
      </c>
      <c r="C50" s="33">
        <f>B50*2</f>
        <v>31.800000000000011</v>
      </c>
      <c r="D50" s="234"/>
    </row>
    <row r="51" spans="1:6">
      <c r="A51" s="171" t="s">
        <v>77</v>
      </c>
      <c r="B51" s="33">
        <f t="shared" si="0"/>
        <v>2032.1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12410.7598</v>
      </c>
      <c r="C5" s="17">
        <f>IF(ISERROR('Eigen informatie GS &amp; warmtenet'!B58),0,'Eigen informatie GS &amp; warmtenet'!B58)</f>
        <v>0</v>
      </c>
      <c r="D5" s="30">
        <f>SUM(D6:D12)</f>
        <v>7530.1352569960982</v>
      </c>
      <c r="E5" s="17">
        <f>SUM(E6:E12)</f>
        <v>134.62592859073857</v>
      </c>
      <c r="F5" s="17">
        <f>SUM(F6:F12)</f>
        <v>1760.9211379542758</v>
      </c>
      <c r="G5" s="18"/>
      <c r="H5" s="17"/>
      <c r="I5" s="17"/>
      <c r="J5" s="17">
        <f>SUM(J6:J12)</f>
        <v>0</v>
      </c>
      <c r="K5" s="17"/>
      <c r="L5" s="17"/>
      <c r="M5" s="17"/>
      <c r="N5" s="17">
        <f>SUM(N6:N12)</f>
        <v>583.89800004163624</v>
      </c>
      <c r="O5" s="17">
        <f>B38*B39*B40</f>
        <v>1.5633333333333335</v>
      </c>
      <c r="P5" s="17">
        <f>B46*B47*B48/1000-B46*B47*B48/1000/B49</f>
        <v>38.133333333333333</v>
      </c>
      <c r="R5" s="32"/>
    </row>
    <row r="6" spans="1:18">
      <c r="A6" s="32" t="s">
        <v>53</v>
      </c>
      <c r="B6" s="37">
        <f>B26</f>
        <v>2620.491</v>
      </c>
      <c r="C6" s="33"/>
      <c r="D6" s="37">
        <f>IF(ISERROR(TER_kantoor_gas_kWh/1000),0,TER_kantoor_gas_kWh/1000)*0.902</f>
        <v>2820.9065838293782</v>
      </c>
      <c r="E6" s="33">
        <f>$C$26*'E Balans VL '!I12/100/3.6*1000000</f>
        <v>7.5919469075461947</v>
      </c>
      <c r="F6" s="33">
        <f>$C$26*('E Balans VL '!L12+'E Balans VL '!N12)/100/3.6*1000000</f>
        <v>296.5818473070259</v>
      </c>
      <c r="G6" s="34"/>
      <c r="H6" s="33"/>
      <c r="I6" s="33"/>
      <c r="J6" s="33">
        <f>$C$26*('E Balans VL '!D12+'E Balans VL '!E12)/100/3.6*1000000</f>
        <v>0</v>
      </c>
      <c r="K6" s="33"/>
      <c r="L6" s="33"/>
      <c r="M6" s="33"/>
      <c r="N6" s="33">
        <f>$C$26*'E Balans VL '!Y12/100/3.6*1000000</f>
        <v>26.229184046020499</v>
      </c>
      <c r="O6" s="33"/>
      <c r="P6" s="33"/>
      <c r="R6" s="32"/>
    </row>
    <row r="7" spans="1:18">
      <c r="A7" s="32" t="s">
        <v>52</v>
      </c>
      <c r="B7" s="37">
        <f t="shared" ref="B7:B12" si="0">B27</f>
        <v>1033.5229999999999</v>
      </c>
      <c r="C7" s="33"/>
      <c r="D7" s="37">
        <f>IF(ISERROR(TER_horeca_gas_kWh/1000),0,TER_horeca_gas_kWh/1000)*0.902</f>
        <v>493.359327524869</v>
      </c>
      <c r="E7" s="33">
        <f>$C$27*'E Balans VL '!I9/100/3.6*1000000</f>
        <v>43.384407933808163</v>
      </c>
      <c r="F7" s="33">
        <f>$C$27*('E Balans VL '!L9+'E Balans VL '!N9)/100/3.6*1000000</f>
        <v>222.07361093526461</v>
      </c>
      <c r="G7" s="34"/>
      <c r="H7" s="33"/>
      <c r="I7" s="33"/>
      <c r="J7" s="33">
        <f>$C$27*('E Balans VL '!D9+'E Balans VL '!E9)/100/3.6*1000000</f>
        <v>0</v>
      </c>
      <c r="K7" s="33"/>
      <c r="L7" s="33"/>
      <c r="M7" s="33"/>
      <c r="N7" s="33">
        <f>$C$27*'E Balans VL '!Y9/100/3.6*1000000</f>
        <v>0.26632983861347292</v>
      </c>
      <c r="O7" s="33"/>
      <c r="P7" s="33"/>
      <c r="R7" s="32"/>
    </row>
    <row r="8" spans="1:18">
      <c r="A8" s="6" t="s">
        <v>51</v>
      </c>
      <c r="B8" s="37">
        <f t="shared" si="0"/>
        <v>5232.7299999999996</v>
      </c>
      <c r="C8" s="33"/>
      <c r="D8" s="37">
        <f>IF(ISERROR(TER_handel_gas_kWh/1000),0,TER_handel_gas_kWh/1000)*0.902</f>
        <v>485.29824682834249</v>
      </c>
      <c r="E8" s="33">
        <f>$C$28*'E Balans VL '!I13/100/3.6*1000000</f>
        <v>56.203875277378991</v>
      </c>
      <c r="F8" s="33">
        <f>$C$28*('E Balans VL '!L13+'E Balans VL '!N13)/100/3.6*1000000</f>
        <v>677.42010949355426</v>
      </c>
      <c r="G8" s="34"/>
      <c r="H8" s="33"/>
      <c r="I8" s="33"/>
      <c r="J8" s="33">
        <f>$C$28*('E Balans VL '!D13+'E Balans VL '!E13)/100/3.6*1000000</f>
        <v>0</v>
      </c>
      <c r="K8" s="33"/>
      <c r="L8" s="33"/>
      <c r="M8" s="33"/>
      <c r="N8" s="33">
        <f>$C$28*'E Balans VL '!Y13/100/3.6*1000000</f>
        <v>42.44819147948094</v>
      </c>
      <c r="O8" s="33"/>
      <c r="P8" s="33"/>
      <c r="R8" s="32"/>
    </row>
    <row r="9" spans="1:18">
      <c r="A9" s="32" t="s">
        <v>50</v>
      </c>
      <c r="B9" s="37">
        <f t="shared" si="0"/>
        <v>106.2075</v>
      </c>
      <c r="C9" s="33"/>
      <c r="D9" s="37">
        <f>IF(ISERROR(TER_gezond_gas_kWh/1000),0,TER_gezond_gas_kWh/1000)*0.902</f>
        <v>108.86880432479711</v>
      </c>
      <c r="E9" s="33">
        <f>$C$29*'E Balans VL '!I10/100/3.6*1000000</f>
        <v>8.4548039317065546E-2</v>
      </c>
      <c r="F9" s="33">
        <f>$C$29*('E Balans VL '!L10+'E Balans VL '!N10)/100/3.6*1000000</f>
        <v>12.911056461618356</v>
      </c>
      <c r="G9" s="34"/>
      <c r="H9" s="33"/>
      <c r="I9" s="33"/>
      <c r="J9" s="33">
        <f>$C$29*('E Balans VL '!D10+'E Balans VL '!E10)/100/3.6*1000000</f>
        <v>0</v>
      </c>
      <c r="K9" s="33"/>
      <c r="L9" s="33"/>
      <c r="M9" s="33"/>
      <c r="N9" s="33">
        <f>$C$29*'E Balans VL '!Y10/100/3.6*1000000</f>
        <v>0.8579160471716345</v>
      </c>
      <c r="O9" s="33"/>
      <c r="P9" s="33"/>
      <c r="R9" s="32"/>
    </row>
    <row r="10" spans="1:18">
      <c r="A10" s="32" t="s">
        <v>49</v>
      </c>
      <c r="B10" s="37">
        <f t="shared" si="0"/>
        <v>382.27209999999997</v>
      </c>
      <c r="C10" s="33"/>
      <c r="D10" s="37">
        <f>IF(ISERROR(TER_ander_gas_kWh/1000),0,TER_ander_gas_kWh/1000)*0.902</f>
        <v>209.05044644514419</v>
      </c>
      <c r="E10" s="33">
        <f>$C$30*'E Balans VL '!I14/100/3.6*1000000</f>
        <v>1.3100665687019033</v>
      </c>
      <c r="F10" s="33">
        <f>$C$30*('E Balans VL '!L14+'E Balans VL '!N14)/100/3.6*1000000</f>
        <v>85.384053431672498</v>
      </c>
      <c r="G10" s="34"/>
      <c r="H10" s="33"/>
      <c r="I10" s="33"/>
      <c r="J10" s="33">
        <f>$C$30*('E Balans VL '!D14+'E Balans VL '!E14)/100/3.6*1000000</f>
        <v>0</v>
      </c>
      <c r="K10" s="33"/>
      <c r="L10" s="33"/>
      <c r="M10" s="33"/>
      <c r="N10" s="33">
        <f>$C$30*'E Balans VL '!Y14/100/3.6*1000000</f>
        <v>269.27455555166136</v>
      </c>
      <c r="O10" s="33"/>
      <c r="P10" s="33"/>
      <c r="R10" s="32"/>
    </row>
    <row r="11" spans="1:18">
      <c r="A11" s="32" t="s">
        <v>54</v>
      </c>
      <c r="B11" s="37">
        <f t="shared" si="0"/>
        <v>166.90720000000002</v>
      </c>
      <c r="C11" s="33"/>
      <c r="D11" s="37">
        <f>IF(ISERROR(TER_onderwijs_gas_kWh/1000),0,TER_onderwijs_gas_kWh/1000)*0.902</f>
        <v>168.25467839576729</v>
      </c>
      <c r="E11" s="33">
        <f>$C$31*'E Balans VL '!I11/100/3.6*1000000</f>
        <v>0.11537780702279093</v>
      </c>
      <c r="F11" s="33">
        <f>$C$31*('E Balans VL '!L11+'E Balans VL '!N11)/100/3.6*1000000</f>
        <v>43.691456634806769</v>
      </c>
      <c r="G11" s="34"/>
      <c r="H11" s="33"/>
      <c r="I11" s="33"/>
      <c r="J11" s="33">
        <f>$C$31*('E Balans VL '!D11+'E Balans VL '!E11)/100/3.6*1000000</f>
        <v>0</v>
      </c>
      <c r="K11" s="33"/>
      <c r="L11" s="33"/>
      <c r="M11" s="33"/>
      <c r="N11" s="33">
        <f>$C$31*'E Balans VL '!Y11/100/3.6*1000000</f>
        <v>0.16614190155367306</v>
      </c>
      <c r="O11" s="33"/>
      <c r="P11" s="33"/>
      <c r="R11" s="32"/>
    </row>
    <row r="12" spans="1:18">
      <c r="A12" s="32" t="s">
        <v>259</v>
      </c>
      <c r="B12" s="37">
        <f t="shared" si="0"/>
        <v>2868.6289999999999</v>
      </c>
      <c r="C12" s="33"/>
      <c r="D12" s="37">
        <f>IF(ISERROR(TER_rest_gas_kWh/1000),0,TER_rest_gas_kWh/1000)*0.902</f>
        <v>3244.3971696478002</v>
      </c>
      <c r="E12" s="33">
        <f>$C$32*'E Balans VL '!I8/100/3.6*1000000</f>
        <v>25.935706056963454</v>
      </c>
      <c r="F12" s="33">
        <f>$C$32*('E Balans VL '!L8+'E Balans VL '!N8)/100/3.6*1000000</f>
        <v>422.85900369033328</v>
      </c>
      <c r="G12" s="34"/>
      <c r="H12" s="33"/>
      <c r="I12" s="33"/>
      <c r="J12" s="33">
        <f>$C$32*('E Balans VL '!D8+'E Balans VL '!E8)/100/3.6*1000000</f>
        <v>0</v>
      </c>
      <c r="K12" s="33"/>
      <c r="L12" s="33"/>
      <c r="M12" s="33"/>
      <c r="N12" s="33">
        <f>$C$32*'E Balans VL '!Y8/100/3.6*1000000</f>
        <v>244.65568117713471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12410.7598</v>
      </c>
      <c r="C16" s="21">
        <f t="shared" ca="1" si="1"/>
        <v>0</v>
      </c>
      <c r="D16" s="21">
        <f t="shared" ca="1" si="1"/>
        <v>7530.1352569960982</v>
      </c>
      <c r="E16" s="21">
        <f t="shared" si="1"/>
        <v>134.62592859073857</v>
      </c>
      <c r="F16" s="21">
        <f t="shared" ca="1" si="1"/>
        <v>1760.9211379542758</v>
      </c>
      <c r="G16" s="21">
        <f t="shared" si="1"/>
        <v>0</v>
      </c>
      <c r="H16" s="21">
        <f t="shared" si="1"/>
        <v>0</v>
      </c>
      <c r="I16" s="21">
        <f t="shared" si="1"/>
        <v>0</v>
      </c>
      <c r="J16" s="21">
        <f t="shared" si="1"/>
        <v>0</v>
      </c>
      <c r="K16" s="21">
        <f t="shared" si="1"/>
        <v>0</v>
      </c>
      <c r="L16" s="21">
        <f t="shared" ca="1" si="1"/>
        <v>0</v>
      </c>
      <c r="M16" s="21">
        <f t="shared" si="1"/>
        <v>0</v>
      </c>
      <c r="N16" s="21">
        <f t="shared" ca="1" si="1"/>
        <v>583.89800004163624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0.19305445315998518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2395.9524464889269</v>
      </c>
      <c r="C20" s="23">
        <f t="shared" ref="C20:P20" ca="1" si="2">C16*C18</f>
        <v>0</v>
      </c>
      <c r="D20" s="23">
        <f t="shared" ca="1" si="2"/>
        <v>1521.087321913212</v>
      </c>
      <c r="E20" s="23">
        <f t="shared" si="2"/>
        <v>30.560085790097656</v>
      </c>
      <c r="F20" s="23">
        <f t="shared" ca="1" si="2"/>
        <v>470.16594383379163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2620.491</v>
      </c>
      <c r="C26" s="39">
        <f>IF(ISERROR(B26*3.6/1000000/'E Balans VL '!Z12*100),0,B26*3.6/1000000/'E Balans VL '!Z12*100)</f>
        <v>5.7562114405970886E-2</v>
      </c>
      <c r="D26" s="237" t="s">
        <v>691</v>
      </c>
      <c r="F26" s="6"/>
    </row>
    <row r="27" spans="1:18">
      <c r="A27" s="231" t="s">
        <v>52</v>
      </c>
      <c r="B27" s="33">
        <f>IF(ISERROR(TER_horeca_ele_kWh/1000),0,TER_horeca_ele_kWh/1000)</f>
        <v>1033.5229999999999</v>
      </c>
      <c r="C27" s="39">
        <f>IF(ISERROR(B27*3.6/1000000/'E Balans VL '!Z9*100),0,B27*3.6/1000000/'E Balans VL '!Z9*100)</f>
        <v>8.3053875328945023E-2</v>
      </c>
      <c r="D27" s="237" t="s">
        <v>691</v>
      </c>
      <c r="F27" s="6"/>
    </row>
    <row r="28" spans="1:18">
      <c r="A28" s="171" t="s">
        <v>51</v>
      </c>
      <c r="B28" s="33">
        <f>IF(ISERROR(TER_handel_ele_kWh/1000),0,TER_handel_ele_kWh/1000)</f>
        <v>5232.7299999999996</v>
      </c>
      <c r="C28" s="39">
        <f>IF(ISERROR(B28*3.6/1000000/'E Balans VL '!Z13*100),0,B28*3.6/1000000/'E Balans VL '!Z13*100)</f>
        <v>0.15472817043806561</v>
      </c>
      <c r="D28" s="237" t="s">
        <v>691</v>
      </c>
      <c r="F28" s="6"/>
    </row>
    <row r="29" spans="1:18">
      <c r="A29" s="231" t="s">
        <v>50</v>
      </c>
      <c r="B29" s="33">
        <f>IF(ISERROR(TER_gezond_ele_kWh/1000),0,TER_gezond_ele_kWh/1000)</f>
        <v>106.2075</v>
      </c>
      <c r="C29" s="39">
        <f>IF(ISERROR(B29*3.6/1000000/'E Balans VL '!Z10*100),0,B29*3.6/1000000/'E Balans VL '!Z10*100)</f>
        <v>1.1966843214061079E-2</v>
      </c>
      <c r="D29" s="237" t="s">
        <v>691</v>
      </c>
      <c r="F29" s="6"/>
    </row>
    <row r="30" spans="1:18">
      <c r="A30" s="231" t="s">
        <v>49</v>
      </c>
      <c r="B30" s="33">
        <f>IF(ISERROR(TER_ander_ele_kWh/1000),0,TER_ander_ele_kWh/1000)</f>
        <v>382.27209999999997</v>
      </c>
      <c r="C30" s="39">
        <f>IF(ISERROR(B30*3.6/1000000/'E Balans VL '!Z14*100),0,B30*3.6/1000000/'E Balans VL '!Z14*100)</f>
        <v>2.8910585458362083E-2</v>
      </c>
      <c r="D30" s="237" t="s">
        <v>691</v>
      </c>
      <c r="F30" s="6"/>
    </row>
    <row r="31" spans="1:18">
      <c r="A31" s="231" t="s">
        <v>54</v>
      </c>
      <c r="B31" s="33">
        <f>IF(ISERROR(TER_onderwijs_ele_kWh/1000),0,TER_onderwijs_ele_kWh/1000)</f>
        <v>166.90720000000002</v>
      </c>
      <c r="C31" s="39">
        <f>IF(ISERROR(B31*3.6/1000000/'E Balans VL '!Z11*100),0,B31*3.6/1000000/'E Balans VL '!Z11*100)</f>
        <v>3.4646060135689549E-2</v>
      </c>
      <c r="D31" s="237" t="s">
        <v>691</v>
      </c>
    </row>
    <row r="32" spans="1:18">
      <c r="A32" s="231" t="s">
        <v>259</v>
      </c>
      <c r="B32" s="33">
        <f>IF(ISERROR(TER_rest_ele_kWh/1000),0,TER_rest_ele_kWh/1000)</f>
        <v>2868.6289999999999</v>
      </c>
      <c r="C32" s="39">
        <f>IF(ISERROR(B32*3.6/1000000/'E Balans VL '!Z8*100),0,B32*3.6/1000000/'E Balans VL '!Z8*100)</f>
        <v>2.4166511767707826E-2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34002.707649999997</v>
      </c>
      <c r="C5" s="17">
        <f>IF(ISERROR('Eigen informatie GS &amp; warmtenet'!B59),0,'Eigen informatie GS &amp; warmtenet'!B59)</f>
        <v>0</v>
      </c>
      <c r="D5" s="30">
        <f>SUM(D6:D15)</f>
        <v>12037.765478293557</v>
      </c>
      <c r="E5" s="17">
        <f>SUM(E6:E15)</f>
        <v>2005.7971396743183</v>
      </c>
      <c r="F5" s="17">
        <f>SUM(F6:F15)</f>
        <v>12952.844586202667</v>
      </c>
      <c r="G5" s="18"/>
      <c r="H5" s="17"/>
      <c r="I5" s="17"/>
      <c r="J5" s="17">
        <f>SUM(J6:J15)</f>
        <v>161.79029197077347</v>
      </c>
      <c r="K5" s="17"/>
      <c r="L5" s="17"/>
      <c r="M5" s="17"/>
      <c r="N5" s="17">
        <f>SUM(N6:N15)</f>
        <v>2968.9205379079003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518.8931</v>
      </c>
      <c r="C8" s="33"/>
      <c r="D8" s="37">
        <f>IF( ISERROR(IND_metaal_Gas_kWH/1000),0,IND_metaal_Gas_kWH/1000)*0.902</f>
        <v>56.632099610109599</v>
      </c>
      <c r="E8" s="33">
        <f>C30*'E Balans VL '!I18/100/3.6*1000000</f>
        <v>12.986078206057126</v>
      </c>
      <c r="F8" s="33">
        <f>C30*'E Balans VL '!L18/100/3.6*1000000+C30*'E Balans VL '!N18/100/3.6*1000000</f>
        <v>162.62367864702048</v>
      </c>
      <c r="G8" s="34"/>
      <c r="H8" s="33"/>
      <c r="I8" s="33"/>
      <c r="J8" s="40">
        <f>C30*'E Balans VL '!D18/100/3.6*1000000+C30*'E Balans VL '!E18/100/3.6*1000000</f>
        <v>0</v>
      </c>
      <c r="K8" s="33"/>
      <c r="L8" s="33"/>
      <c r="M8" s="33"/>
      <c r="N8" s="33">
        <f>C30*'E Balans VL '!Y18/100/3.6*1000000</f>
        <v>13.035941317022854</v>
      </c>
      <c r="O8" s="33"/>
      <c r="P8" s="33"/>
      <c r="R8" s="32"/>
    </row>
    <row r="9" spans="1:18">
      <c r="A9" s="6" t="s">
        <v>32</v>
      </c>
      <c r="B9" s="37">
        <f t="shared" si="0"/>
        <v>2801.7649999999999</v>
      </c>
      <c r="C9" s="33"/>
      <c r="D9" s="37">
        <f>IF( ISERROR(IND_andere_gas_kWh/1000),0,IND_andere_gas_kWh/1000)*0.902</f>
        <v>807.87382827169301</v>
      </c>
      <c r="E9" s="33">
        <f>C31*'E Balans VL '!I19/100/3.6*1000000</f>
        <v>770.37046045276304</v>
      </c>
      <c r="F9" s="33">
        <f>C31*'E Balans VL '!L19/100/3.6*1000000+C31*'E Balans VL '!N19/100/3.6*1000000</f>
        <v>2208.278362114529</v>
      </c>
      <c r="G9" s="34"/>
      <c r="H9" s="33"/>
      <c r="I9" s="33"/>
      <c r="J9" s="40">
        <f>C31*'E Balans VL '!D19/100/3.6*1000000+C31*'E Balans VL '!E19/100/3.6*1000000</f>
        <v>0</v>
      </c>
      <c r="K9" s="33"/>
      <c r="L9" s="33"/>
      <c r="M9" s="33"/>
      <c r="N9" s="33">
        <f>C31*'E Balans VL '!Y19/100/3.6*1000000</f>
        <v>225.71195394754901</v>
      </c>
      <c r="O9" s="33"/>
      <c r="P9" s="33"/>
      <c r="R9" s="32"/>
    </row>
    <row r="10" spans="1:18">
      <c r="A10" s="6" t="s">
        <v>40</v>
      </c>
      <c r="B10" s="37">
        <f t="shared" si="0"/>
        <v>2685.529</v>
      </c>
      <c r="C10" s="33"/>
      <c r="D10" s="37">
        <f>IF( ISERROR(IND_voed_gas_kWh/1000),0,IND_voed_gas_kWh/1000)*0.902</f>
        <v>0</v>
      </c>
      <c r="E10" s="33">
        <f>C32*'E Balans VL '!I20/100/3.6*1000000</f>
        <v>27.377488688632024</v>
      </c>
      <c r="F10" s="33">
        <f>C32*'E Balans VL '!L20/100/3.6*1000000+C32*'E Balans VL '!N20/100/3.6*1000000</f>
        <v>5072.9474846374733</v>
      </c>
      <c r="G10" s="34"/>
      <c r="H10" s="33"/>
      <c r="I10" s="33"/>
      <c r="J10" s="40">
        <f>C32*'E Balans VL '!D20/100/3.6*1000000+C32*'E Balans VL '!E20/100/3.6*1000000</f>
        <v>64.273496060670652</v>
      </c>
      <c r="K10" s="33"/>
      <c r="L10" s="33"/>
      <c r="M10" s="33"/>
      <c r="N10" s="33">
        <f>C32*'E Balans VL '!Y20/100/3.6*1000000</f>
        <v>1415.5831180090381</v>
      </c>
      <c r="O10" s="33"/>
      <c r="P10" s="33"/>
      <c r="R10" s="32"/>
    </row>
    <row r="11" spans="1:18">
      <c r="A11" s="6" t="s">
        <v>39</v>
      </c>
      <c r="B11" s="37">
        <f t="shared" si="0"/>
        <v>4693.4690000000001</v>
      </c>
      <c r="C11" s="33"/>
      <c r="D11" s="37">
        <f>IF( ISERROR(IND_textiel_gas_kWh/1000),0,IND_textiel_gas_kWh/1000)*0.902</f>
        <v>0</v>
      </c>
      <c r="E11" s="33">
        <f>C33*'E Balans VL '!I21/100/3.6*1000000</f>
        <v>12.439988977181955</v>
      </c>
      <c r="F11" s="33">
        <f>C33*'E Balans VL '!L21/100/3.6*1000000+C33*'E Balans VL '!N21/100/3.6*1000000</f>
        <v>209.61516721379411</v>
      </c>
      <c r="G11" s="34"/>
      <c r="H11" s="33"/>
      <c r="I11" s="33"/>
      <c r="J11" s="40">
        <f>C33*'E Balans VL '!D21/100/3.6*1000000+C33*'E Balans VL '!E21/100/3.6*1000000</f>
        <v>0</v>
      </c>
      <c r="K11" s="33"/>
      <c r="L11" s="33"/>
      <c r="M11" s="33"/>
      <c r="N11" s="33">
        <f>C33*'E Balans VL '!Y21/100/3.6*1000000</f>
        <v>44.232590235713701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58.923550000000006</v>
      </c>
      <c r="C13" s="33"/>
      <c r="D13" s="37">
        <f>IF( ISERROR(IND_papier_gas_kWh/1000),0,IND_papier_gas_kWh/1000)*0.902</f>
        <v>105.87984035585042</v>
      </c>
      <c r="E13" s="33">
        <f>C35*'E Balans VL '!I23/100/3.6*1000000</f>
        <v>0.12203464929385464</v>
      </c>
      <c r="F13" s="33">
        <f>C35*'E Balans VL '!L23/100/3.6*1000000+C35*'E Balans VL '!N23/100/3.6*1000000</f>
        <v>1.1685803185510246</v>
      </c>
      <c r="G13" s="34"/>
      <c r="H13" s="33"/>
      <c r="I13" s="33"/>
      <c r="J13" s="40">
        <f>C35*'E Balans VL '!D23/100/3.6*1000000+C35*'E Balans VL '!E23/100/3.6*1000000</f>
        <v>0</v>
      </c>
      <c r="K13" s="33"/>
      <c r="L13" s="33"/>
      <c r="M13" s="33"/>
      <c r="N13" s="33">
        <f>C35*'E Balans VL '!Y23/100/3.6*1000000</f>
        <v>4.086646024345252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23244.128000000001</v>
      </c>
      <c r="C15" s="33"/>
      <c r="D15" s="37">
        <f>IF( ISERROR(IND_rest_gas_kWh/1000),0,IND_rest_gas_kWh/1000)*0.902</f>
        <v>11067.379710055904</v>
      </c>
      <c r="E15" s="33">
        <f>C37*'E Balans VL '!I15/100/3.6*1000000</f>
        <v>1182.5010887003903</v>
      </c>
      <c r="F15" s="33">
        <f>C37*'E Balans VL '!L15/100/3.6*1000000+C37*'E Balans VL '!N15/100/3.6*1000000</f>
        <v>5298.2113132713002</v>
      </c>
      <c r="G15" s="34"/>
      <c r="H15" s="33"/>
      <c r="I15" s="33"/>
      <c r="J15" s="40">
        <f>C37*'E Balans VL '!D15/100/3.6*1000000+C37*'E Balans VL '!E15/100/3.6*1000000</f>
        <v>97.516795910102815</v>
      </c>
      <c r="K15" s="33"/>
      <c r="L15" s="33"/>
      <c r="M15" s="33"/>
      <c r="N15" s="33">
        <f>C37*'E Balans VL '!Y15/100/3.6*1000000</f>
        <v>1266.2702883742309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34002.707649999997</v>
      </c>
      <c r="C18" s="21">
        <f>C5+C16</f>
        <v>0</v>
      </c>
      <c r="D18" s="21">
        <f>MAX((D5+D16),0)</f>
        <v>12037.765478293557</v>
      </c>
      <c r="E18" s="21">
        <f>MAX((E5+E16),0)</f>
        <v>2005.7971396743183</v>
      </c>
      <c r="F18" s="21">
        <f>MAX((F5+F16),0)</f>
        <v>12952.844586202667</v>
      </c>
      <c r="G18" s="21"/>
      <c r="H18" s="21"/>
      <c r="I18" s="21"/>
      <c r="J18" s="21">
        <f>MAX((J5+J16),0)</f>
        <v>161.79029197077347</v>
      </c>
      <c r="K18" s="21"/>
      <c r="L18" s="21">
        <f>MAX((L5+L16),0)</f>
        <v>0</v>
      </c>
      <c r="M18" s="21"/>
      <c r="N18" s="21">
        <f>MAX((N5+N16),0)</f>
        <v>2968.9205379079003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0.19305445315998518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6564.3741313295941</v>
      </c>
      <c r="C22" s="23">
        <f ca="1">C18*C20</f>
        <v>0</v>
      </c>
      <c r="D22" s="23">
        <f>D18*D20</f>
        <v>2431.6286266152988</v>
      </c>
      <c r="E22" s="23">
        <f>E18*E20</f>
        <v>455.31595070607028</v>
      </c>
      <c r="F22" s="23">
        <f>F18*F20</f>
        <v>3458.4095045161125</v>
      </c>
      <c r="G22" s="23"/>
      <c r="H22" s="23"/>
      <c r="I22" s="23"/>
      <c r="J22" s="23">
        <f>J18*J20</f>
        <v>57.273763357653806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518.8931</v>
      </c>
      <c r="C30" s="39">
        <f>IF(ISERROR(B30*3.6/1000000/'E Balans VL '!Z18*100),0,B30*3.6/1000000/'E Balans VL '!Z18*100)</f>
        <v>7.2627741696409148E-2</v>
      </c>
      <c r="D30" s="237" t="s">
        <v>691</v>
      </c>
    </row>
    <row r="31" spans="1:18">
      <c r="A31" s="6" t="s">
        <v>32</v>
      </c>
      <c r="B31" s="37">
        <f>IF( ISERROR(IND_ander_ele_kWh/1000),0,IND_ander_ele_kWh/1000)</f>
        <v>2801.7649999999999</v>
      </c>
      <c r="C31" s="39">
        <f>IF(ISERROR(B31*3.6/1000000/'E Balans VL '!Z19*100),0,B31*3.6/1000000/'E Balans VL '!Z19*100)</f>
        <v>0.12263279953914266</v>
      </c>
      <c r="D31" s="237" t="s">
        <v>691</v>
      </c>
    </row>
    <row r="32" spans="1:18">
      <c r="A32" s="171" t="s">
        <v>40</v>
      </c>
      <c r="B32" s="37">
        <f>IF( ISERROR(IND_voed_ele_kWh/1000),0,IND_voed_ele_kWh/1000)</f>
        <v>2685.529</v>
      </c>
      <c r="C32" s="39">
        <f>IF(ISERROR(B32*3.6/1000000/'E Balans VL '!Z20*100),0,B32*3.6/1000000/'E Balans VL '!Z20*100)</f>
        <v>0.66484779838085584</v>
      </c>
      <c r="D32" s="237" t="s">
        <v>691</v>
      </c>
    </row>
    <row r="33" spans="1:5">
      <c r="A33" s="171" t="s">
        <v>39</v>
      </c>
      <c r="B33" s="37">
        <f>IF( ISERROR(IND_textiel_ele_kWh/1000),0,IND_textiel_ele_kWh/1000)</f>
        <v>4693.4690000000001</v>
      </c>
      <c r="C33" s="39">
        <f>IF(ISERROR(B33*3.6/1000000/'E Balans VL '!Z21*100),0,B33*3.6/1000000/'E Balans VL '!Z21*100)</f>
        <v>0.52887128008186723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58.923550000000006</v>
      </c>
      <c r="C35" s="39">
        <f>IF(ISERROR(B35*3.6/1000000/'E Balans VL '!Z22*100),0,B35*3.6/1000000/'E Balans VL '!Z22*100)</f>
        <v>1.6720099538359071E-3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23244.128000000001</v>
      </c>
      <c r="C37" s="39">
        <f>IF(ISERROR(B37*3.6/1000000/'E Balans VL '!Z15*100),0,B37*3.6/1000000/'E Balans VL '!Z15*100)</f>
        <v>0.17235122955688545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1721.616</v>
      </c>
      <c r="C5" s="17">
        <f>'Eigen informatie GS &amp; warmtenet'!B60</f>
        <v>0</v>
      </c>
      <c r="D5" s="30">
        <f>IF(ISERROR(SUM(LB_lb_gas_kWh,LB_rest_gas_kWh)/1000),0,SUM(LB_lb_gas_kWh,LB_rest_gas_kWh)/1000)*0.902</f>
        <v>53.122225409292035</v>
      </c>
      <c r="E5" s="17">
        <f>B17*'E Balans VL '!I25/3.6*1000000/100</f>
        <v>15.946328471063776</v>
      </c>
      <c r="F5" s="17">
        <f>B17*('E Balans VL '!L25/3.6*1000000+'E Balans VL '!N25/3.6*1000000)/100</f>
        <v>4368.0677595114339</v>
      </c>
      <c r="G5" s="18"/>
      <c r="H5" s="17"/>
      <c r="I5" s="17"/>
      <c r="J5" s="17">
        <f>('E Balans VL '!D25+'E Balans VL '!E25)/3.6*1000000*landbouw!B17/100</f>
        <v>263.94294609063587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1721.616</v>
      </c>
      <c r="C8" s="21">
        <f>C5+C6</f>
        <v>0</v>
      </c>
      <c r="D8" s="21">
        <f>MAX((D5+D6),0)</f>
        <v>53.122225409292035</v>
      </c>
      <c r="E8" s="21">
        <f>MAX((E5+E6),0)</f>
        <v>15.946328471063776</v>
      </c>
      <c r="F8" s="21">
        <f>MAX((F5+F6),0)</f>
        <v>4368.0677595114339</v>
      </c>
      <c r="G8" s="21"/>
      <c r="H8" s="21"/>
      <c r="I8" s="21"/>
      <c r="J8" s="21">
        <f>MAX((J5+J6),0)</f>
        <v>263.94294609063587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0.19305445315998518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332.36563543148105</v>
      </c>
      <c r="C12" s="23">
        <f ca="1">C8*C10</f>
        <v>0</v>
      </c>
      <c r="D12" s="23">
        <f>D8*D10</f>
        <v>10.730689532676992</v>
      </c>
      <c r="E12" s="23">
        <f>E8*E10</f>
        <v>3.6198165629314771</v>
      </c>
      <c r="F12" s="23">
        <f>F8*F10</f>
        <v>1166.2740917895528</v>
      </c>
      <c r="G12" s="23"/>
      <c r="H12" s="23"/>
      <c r="I12" s="23"/>
      <c r="J12" s="23">
        <f>J8*J10</f>
        <v>93.435802916085095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0.24477729063101922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365.98133024977608</v>
      </c>
      <c r="C26" s="247">
        <f>B26*'GWP N2O_CH4'!B5</f>
        <v>7685.607935245298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132.00652855837347</v>
      </c>
      <c r="C27" s="247">
        <f>B27*'GWP N2O_CH4'!B5</f>
        <v>2772.1370997258427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5.0694729184447125</v>
      </c>
      <c r="C28" s="247">
        <f>B28*'GWP N2O_CH4'!B4</f>
        <v>1571.5366047178609</v>
      </c>
      <c r="D28" s="50"/>
    </row>
    <row r="29" spans="1:4">
      <c r="A29" s="41" t="s">
        <v>276</v>
      </c>
      <c r="B29" s="247">
        <f>B34*'ha_N2O bodem landbouw'!B4</f>
        <v>17.913144021376855</v>
      </c>
      <c r="C29" s="247">
        <f>B29*'GWP N2O_CH4'!B4</f>
        <v>5553.0746466268247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4.0176026225769669E-3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2.4131017224276848E-5</v>
      </c>
      <c r="C5" s="438" t="s">
        <v>210</v>
      </c>
      <c r="D5" s="423">
        <f>SUM(D6:D11)</f>
        <v>4.812448527281707E-5</v>
      </c>
      <c r="E5" s="423">
        <f>SUM(E6:E11)</f>
        <v>4.5859522468327254E-4</v>
      </c>
      <c r="F5" s="436" t="s">
        <v>210</v>
      </c>
      <c r="G5" s="423">
        <f>SUM(G6:G11)</f>
        <v>0.16904943303477707</v>
      </c>
      <c r="H5" s="423">
        <f>SUM(H6:H11)</f>
        <v>2.9167265348076621E-2</v>
      </c>
      <c r="I5" s="438" t="s">
        <v>210</v>
      </c>
      <c r="J5" s="438" t="s">
        <v>210</v>
      </c>
      <c r="K5" s="438" t="s">
        <v>210</v>
      </c>
      <c r="L5" s="438" t="s">
        <v>210</v>
      </c>
      <c r="M5" s="423">
        <f>SUM(M6:M11)</f>
        <v>1.0690689699157692E-2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1.9291186305542298E-5</v>
      </c>
      <c r="C6" s="424"/>
      <c r="D6" s="866">
        <f>vkm_GW_PW*SUMIFS(TableVerdeelsleutelVkm[CNG],TableVerdeelsleutelVkm[Voertuigtype],"Lichte voertuigen")*SUMIFS(TableECFTransport[EnergieConsumptieFactor (PJ per km)],TableECFTransport[Index],CONCATENATE($A6,"_CNG_CNG"))</f>
        <v>3.3662820845634259E-5</v>
      </c>
      <c r="E6" s="866">
        <f>vkm_GW_PW*SUMIFS(TableVerdeelsleutelVkm[LPG],TableVerdeelsleutelVkm[Voertuigtype],"Lichte voertuigen")*SUMIFS(TableECFTransport[EnergieConsumptieFactor (PJ per km)],TableECFTransport[Index],CONCATENATE($A6,"_LPG_LPG"))</f>
        <v>3.2604096759796382E-4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7.6625237550613512E-2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2.0614917497418811E-2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5.0713271806506277E-3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5.3247212582024875E-2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1.0326327038940655E-6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3.0871530064181308E-3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4.8398309187345499E-6</v>
      </c>
      <c r="C8" s="424"/>
      <c r="D8" s="426">
        <f>vkm_NGW_PW*SUMIFS(TableVerdeelsleutelVkm[CNG],TableVerdeelsleutelVkm[Voertuigtype],"Lichte voertuigen")*SUMIFS(TableECFTransport[EnergieConsumptieFactor (PJ per km)],TableECFTransport[Index],CONCATENATE($A8,"_CNG_CNG"))</f>
        <v>1.4461664427182812E-5</v>
      </c>
      <c r="E8" s="426">
        <f>vkm_NGW_PW*SUMIFS(TableVerdeelsleutelVkm[LPG],TableVerdeelsleutelVkm[Voertuigtype],"Lichte voertuigen")*SUMIFS(TableECFTransport[EnergieConsumptieFactor (PJ per km)],TableECFTransport[Index],CONCATENATE($A8,"_LPG_LPG"))</f>
        <v>1.3255425708530872E-4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2.9241708215763385E-2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8.5510765549112015E-3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1.9561833443089262E-3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9.9352746863753151E-3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2.3866304271553645E-7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5.7602616778000776E-4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6.7030603400769024</v>
      </c>
      <c r="C14" s="21"/>
      <c r="D14" s="21">
        <f t="shared" ref="D14:M14" si="0">((D5)*10^9/3600)+D12</f>
        <v>13.367912575782519</v>
      </c>
      <c r="E14" s="21">
        <f t="shared" si="0"/>
        <v>127.38756241202015</v>
      </c>
      <c r="F14" s="21"/>
      <c r="G14" s="21">
        <f t="shared" si="0"/>
        <v>46958.175842993631</v>
      </c>
      <c r="H14" s="21">
        <f t="shared" si="0"/>
        <v>8102.018152243505</v>
      </c>
      <c r="I14" s="21"/>
      <c r="J14" s="21"/>
      <c r="K14" s="21"/>
      <c r="L14" s="21"/>
      <c r="M14" s="21">
        <f t="shared" si="0"/>
        <v>2969.6360275438028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0.19305445315998518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1.2940556484519308</v>
      </c>
      <c r="C18" s="23"/>
      <c r="D18" s="23">
        <f t="shared" ref="D18:M18" si="1">D14*D16</f>
        <v>2.7003183403080691</v>
      </c>
      <c r="E18" s="23">
        <f t="shared" si="1"/>
        <v>28.916976667528573</v>
      </c>
      <c r="F18" s="23"/>
      <c r="G18" s="23">
        <f t="shared" si="1"/>
        <v>12537.832950079301</v>
      </c>
      <c r="H18" s="23">
        <f t="shared" si="1"/>
        <v>2017.4025199086327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2.9448743857965749E-3</v>
      </c>
      <c r="H50" s="319">
        <f t="shared" si="2"/>
        <v>0</v>
      </c>
      <c r="I50" s="319">
        <f t="shared" si="2"/>
        <v>0</v>
      </c>
      <c r="J50" s="319">
        <f t="shared" si="2"/>
        <v>0</v>
      </c>
      <c r="K50" s="319">
        <f t="shared" si="2"/>
        <v>0</v>
      </c>
      <c r="L50" s="319">
        <f t="shared" si="2"/>
        <v>0</v>
      </c>
      <c r="M50" s="319">
        <f t="shared" si="2"/>
        <v>1.6832005655473107E-4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2.9448743857965749E-3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1.6832005655473107E-4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818.02066272127081</v>
      </c>
      <c r="H54" s="21">
        <f t="shared" si="3"/>
        <v>0</v>
      </c>
      <c r="I54" s="21">
        <f t="shared" si="3"/>
        <v>0</v>
      </c>
      <c r="J54" s="21">
        <f t="shared" si="3"/>
        <v>0</v>
      </c>
      <c r="K54" s="21">
        <f t="shared" si="3"/>
        <v>0</v>
      </c>
      <c r="L54" s="21">
        <f t="shared" si="3"/>
        <v>0</v>
      </c>
      <c r="M54" s="21">
        <f t="shared" si="3"/>
        <v>46.755571265203073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0.19305445315998518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218.41151694657933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13723.489799999999</v>
      </c>
      <c r="D10" s="991">
        <f ca="1">tertiair!C16</f>
        <v>0</v>
      </c>
      <c r="E10" s="991">
        <f ca="1">tertiair!D16</f>
        <v>7530.1352569960982</v>
      </c>
      <c r="F10" s="991">
        <f>tertiair!E16</f>
        <v>134.62592859073857</v>
      </c>
      <c r="G10" s="991">
        <f ca="1">tertiair!F16</f>
        <v>1760.9211379542758</v>
      </c>
      <c r="H10" s="991">
        <f>tertiair!G16</f>
        <v>0</v>
      </c>
      <c r="I10" s="991">
        <f>tertiair!H16</f>
        <v>0</v>
      </c>
      <c r="J10" s="991">
        <f>tertiair!I16</f>
        <v>0</v>
      </c>
      <c r="K10" s="991">
        <f>tertiair!J16</f>
        <v>0</v>
      </c>
      <c r="L10" s="991">
        <f>tertiair!K16</f>
        <v>0</v>
      </c>
      <c r="M10" s="991">
        <f ca="1">tertiair!L16</f>
        <v>0</v>
      </c>
      <c r="N10" s="991">
        <f>tertiair!M16</f>
        <v>0</v>
      </c>
      <c r="O10" s="991">
        <f ca="1">tertiair!N16</f>
        <v>583.89800004163624</v>
      </c>
      <c r="P10" s="991">
        <f>tertiair!O16</f>
        <v>1.5633333333333335</v>
      </c>
      <c r="Q10" s="992">
        <f>tertiair!P16</f>
        <v>38.133333333333333</v>
      </c>
      <c r="R10" s="675">
        <f ca="1">SUM(C10:Q10)</f>
        <v>23772.766790249418</v>
      </c>
      <c r="S10" s="67"/>
    </row>
    <row r="11" spans="1:19" s="448" customFormat="1">
      <c r="A11" s="784" t="s">
        <v>224</v>
      </c>
      <c r="B11" s="789"/>
      <c r="C11" s="991">
        <f>huishoudens!B8</f>
        <v>30271.472027596825</v>
      </c>
      <c r="D11" s="991">
        <f>huishoudens!C8</f>
        <v>0</v>
      </c>
      <c r="E11" s="991">
        <f>huishoudens!D8</f>
        <v>27002.18285238622</v>
      </c>
      <c r="F11" s="991">
        <f>huishoudens!E8</f>
        <v>9956.8323480871841</v>
      </c>
      <c r="G11" s="991">
        <f>huishoudens!F8</f>
        <v>45494.218188043422</v>
      </c>
      <c r="H11" s="991">
        <f>huishoudens!G8</f>
        <v>0</v>
      </c>
      <c r="I11" s="991">
        <f>huishoudens!H8</f>
        <v>0</v>
      </c>
      <c r="J11" s="991">
        <f>huishoudens!I8</f>
        <v>0</v>
      </c>
      <c r="K11" s="991">
        <f>huishoudens!J8</f>
        <v>433.50005782445686</v>
      </c>
      <c r="L11" s="991">
        <f>huishoudens!K8</f>
        <v>0</v>
      </c>
      <c r="M11" s="991">
        <f>huishoudens!L8</f>
        <v>0</v>
      </c>
      <c r="N11" s="991">
        <f>huishoudens!M8</f>
        <v>0</v>
      </c>
      <c r="O11" s="991">
        <f>huishoudens!N8</f>
        <v>9899.8386696792186</v>
      </c>
      <c r="P11" s="991">
        <f>huishoudens!O8</f>
        <v>225.12000000000003</v>
      </c>
      <c r="Q11" s="992">
        <f>huishoudens!P8</f>
        <v>610.13333333333333</v>
      </c>
      <c r="R11" s="675">
        <f>SUM(C11:Q11)</f>
        <v>123893.29747695065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34002.707649999997</v>
      </c>
      <c r="D13" s="991">
        <f>industrie!C18</f>
        <v>0</v>
      </c>
      <c r="E13" s="991">
        <f>industrie!D18</f>
        <v>12037.765478293557</v>
      </c>
      <c r="F13" s="991">
        <f>industrie!E18</f>
        <v>2005.7971396743183</v>
      </c>
      <c r="G13" s="991">
        <f>industrie!F18</f>
        <v>12952.844586202667</v>
      </c>
      <c r="H13" s="991">
        <f>industrie!G18</f>
        <v>0</v>
      </c>
      <c r="I13" s="991">
        <f>industrie!H18</f>
        <v>0</v>
      </c>
      <c r="J13" s="991">
        <f>industrie!I18</f>
        <v>0</v>
      </c>
      <c r="K13" s="991">
        <f>industrie!J18</f>
        <v>161.79029197077347</v>
      </c>
      <c r="L13" s="991">
        <f>industrie!K18</f>
        <v>0</v>
      </c>
      <c r="M13" s="991">
        <f>industrie!L18</f>
        <v>0</v>
      </c>
      <c r="N13" s="991">
        <f>industrie!M18</f>
        <v>0</v>
      </c>
      <c r="O13" s="991">
        <f>industrie!N18</f>
        <v>2968.9205379079003</v>
      </c>
      <c r="P13" s="991">
        <f>industrie!O18</f>
        <v>0</v>
      </c>
      <c r="Q13" s="992">
        <f>industrie!P18</f>
        <v>0</v>
      </c>
      <c r="R13" s="675">
        <f>SUM(C13:Q13)</f>
        <v>64129.825684049203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77997.669477596821</v>
      </c>
      <c r="D16" s="707">
        <f t="shared" ref="D16:R16" ca="1" si="0">SUM(D9:D15)</f>
        <v>0</v>
      </c>
      <c r="E16" s="707">
        <f t="shared" ca="1" si="0"/>
        <v>46570.083587675879</v>
      </c>
      <c r="F16" s="707">
        <f t="shared" si="0"/>
        <v>12097.25541635224</v>
      </c>
      <c r="G16" s="707">
        <f t="shared" ca="1" si="0"/>
        <v>60207.983912200361</v>
      </c>
      <c r="H16" s="707">
        <f t="shared" si="0"/>
        <v>0</v>
      </c>
      <c r="I16" s="707">
        <f t="shared" si="0"/>
        <v>0</v>
      </c>
      <c r="J16" s="707">
        <f t="shared" si="0"/>
        <v>0</v>
      </c>
      <c r="K16" s="707">
        <f t="shared" si="0"/>
        <v>595.29034979523033</v>
      </c>
      <c r="L16" s="707">
        <f t="shared" si="0"/>
        <v>0</v>
      </c>
      <c r="M16" s="707">
        <f t="shared" ca="1" si="0"/>
        <v>0</v>
      </c>
      <c r="N16" s="707">
        <f t="shared" si="0"/>
        <v>0</v>
      </c>
      <c r="O16" s="707">
        <f t="shared" ca="1" si="0"/>
        <v>13452.657207628756</v>
      </c>
      <c r="P16" s="707">
        <f t="shared" si="0"/>
        <v>226.68333333333337</v>
      </c>
      <c r="Q16" s="707">
        <f t="shared" si="0"/>
        <v>648.26666666666665</v>
      </c>
      <c r="R16" s="707">
        <f t="shared" ca="1" si="0"/>
        <v>211795.88995124926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818.02066272127081</v>
      </c>
      <c r="I19" s="991">
        <f>transport!H54</f>
        <v>0</v>
      </c>
      <c r="J19" s="991">
        <f>transport!I54</f>
        <v>0</v>
      </c>
      <c r="K19" s="991">
        <f>transport!J54</f>
        <v>0</v>
      </c>
      <c r="L19" s="991">
        <f>transport!K54</f>
        <v>0</v>
      </c>
      <c r="M19" s="991">
        <f>transport!L54</f>
        <v>0</v>
      </c>
      <c r="N19" s="991">
        <f>transport!M54</f>
        <v>46.755571265203073</v>
      </c>
      <c r="O19" s="991">
        <f>transport!N54</f>
        <v>0</v>
      </c>
      <c r="P19" s="991">
        <f>transport!O54</f>
        <v>0</v>
      </c>
      <c r="Q19" s="992">
        <f>transport!P54</f>
        <v>0</v>
      </c>
      <c r="R19" s="675">
        <f>SUM(C19:Q19)</f>
        <v>864.77623398647393</v>
      </c>
      <c r="S19" s="67"/>
    </row>
    <row r="20" spans="1:19" s="448" customFormat="1">
      <c r="A20" s="784" t="s">
        <v>306</v>
      </c>
      <c r="B20" s="789"/>
      <c r="C20" s="991">
        <f>transport!B14</f>
        <v>6.7030603400769024</v>
      </c>
      <c r="D20" s="991">
        <f>transport!C14</f>
        <v>0</v>
      </c>
      <c r="E20" s="991">
        <f>transport!D14</f>
        <v>13.367912575782519</v>
      </c>
      <c r="F20" s="991">
        <f>transport!E14</f>
        <v>127.38756241202015</v>
      </c>
      <c r="G20" s="991">
        <f>transport!F14</f>
        <v>0</v>
      </c>
      <c r="H20" s="991">
        <f>transport!G14</f>
        <v>46958.175842993631</v>
      </c>
      <c r="I20" s="991">
        <f>transport!H14</f>
        <v>8102.018152243505</v>
      </c>
      <c r="J20" s="991">
        <f>transport!I14</f>
        <v>0</v>
      </c>
      <c r="K20" s="991">
        <f>transport!J14</f>
        <v>0</v>
      </c>
      <c r="L20" s="991">
        <f>transport!K14</f>
        <v>0</v>
      </c>
      <c r="M20" s="991">
        <f>transport!L14</f>
        <v>0</v>
      </c>
      <c r="N20" s="991">
        <f>transport!M14</f>
        <v>2969.6360275438028</v>
      </c>
      <c r="O20" s="991">
        <f>transport!N14</f>
        <v>0</v>
      </c>
      <c r="P20" s="991">
        <f>transport!O14</f>
        <v>0</v>
      </c>
      <c r="Q20" s="992">
        <f>transport!P14</f>
        <v>0</v>
      </c>
      <c r="R20" s="675">
        <f>SUM(C20:Q20)</f>
        <v>58177.288558108819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6.7030603400769024</v>
      </c>
      <c r="D22" s="787">
        <f t="shared" ref="D22:R22" si="1">SUM(D18:D21)</f>
        <v>0</v>
      </c>
      <c r="E22" s="787">
        <f t="shared" si="1"/>
        <v>13.367912575782519</v>
      </c>
      <c r="F22" s="787">
        <f t="shared" si="1"/>
        <v>127.38756241202015</v>
      </c>
      <c r="G22" s="787">
        <f t="shared" si="1"/>
        <v>0</v>
      </c>
      <c r="H22" s="787">
        <f t="shared" si="1"/>
        <v>47776.196505714899</v>
      </c>
      <c r="I22" s="787">
        <f t="shared" si="1"/>
        <v>8102.018152243505</v>
      </c>
      <c r="J22" s="787">
        <f t="shared" si="1"/>
        <v>0</v>
      </c>
      <c r="K22" s="787">
        <f t="shared" si="1"/>
        <v>0</v>
      </c>
      <c r="L22" s="787">
        <f t="shared" si="1"/>
        <v>0</v>
      </c>
      <c r="M22" s="787">
        <f t="shared" si="1"/>
        <v>0</v>
      </c>
      <c r="N22" s="787">
        <f t="shared" si="1"/>
        <v>3016.3915988090057</v>
      </c>
      <c r="O22" s="787">
        <f t="shared" si="1"/>
        <v>0</v>
      </c>
      <c r="P22" s="787">
        <f t="shared" si="1"/>
        <v>0</v>
      </c>
      <c r="Q22" s="787">
        <f t="shared" si="1"/>
        <v>0</v>
      </c>
      <c r="R22" s="787">
        <f t="shared" si="1"/>
        <v>59042.064792095291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1721.616</v>
      </c>
      <c r="D24" s="991">
        <f>+landbouw!C8</f>
        <v>0</v>
      </c>
      <c r="E24" s="991">
        <f>+landbouw!D8</f>
        <v>53.122225409292035</v>
      </c>
      <c r="F24" s="991">
        <f>+landbouw!E8</f>
        <v>15.946328471063776</v>
      </c>
      <c r="G24" s="991">
        <f>+landbouw!F8</f>
        <v>4368.0677595114339</v>
      </c>
      <c r="H24" s="991">
        <f>+landbouw!G8</f>
        <v>0</v>
      </c>
      <c r="I24" s="991">
        <f>+landbouw!H8</f>
        <v>0</v>
      </c>
      <c r="J24" s="991">
        <f>+landbouw!I8</f>
        <v>0</v>
      </c>
      <c r="K24" s="991">
        <f>+landbouw!J8</f>
        <v>263.94294609063587</v>
      </c>
      <c r="L24" s="991">
        <f>+landbouw!K8</f>
        <v>0</v>
      </c>
      <c r="M24" s="991">
        <f>+landbouw!L8</f>
        <v>0</v>
      </c>
      <c r="N24" s="991">
        <f>+landbouw!M8</f>
        <v>0</v>
      </c>
      <c r="O24" s="991">
        <f>+landbouw!N8</f>
        <v>0</v>
      </c>
      <c r="P24" s="991">
        <f>+landbouw!O8</f>
        <v>0</v>
      </c>
      <c r="Q24" s="992">
        <f>+landbouw!P8</f>
        <v>0</v>
      </c>
      <c r="R24" s="675">
        <f>SUM(C24:Q24)</f>
        <v>6422.6952594824252</v>
      </c>
      <c r="S24" s="67"/>
    </row>
    <row r="25" spans="1:19" s="448" customFormat="1" ht="15" thickBot="1">
      <c r="A25" s="806" t="s">
        <v>849</v>
      </c>
      <c r="B25" s="994"/>
      <c r="C25" s="995">
        <f>IF(Onbekend_ele_kWh="---",0,Onbekend_ele_kWh)/1000+IF(REST_rest_ele_kWh="---",0,REST_rest_ele_kWh)/1000</f>
        <v>858.27159999999992</v>
      </c>
      <c r="D25" s="995"/>
      <c r="E25" s="995">
        <f>IF(onbekend_gas_kWh="---",0,onbekend_gas_kWh)/1000+IF(REST_rest_gas_kWh="---",0,REST_rest_gas_kWh)/1000</f>
        <v>936.88047076992007</v>
      </c>
      <c r="F25" s="995"/>
      <c r="G25" s="995"/>
      <c r="H25" s="995"/>
      <c r="I25" s="995"/>
      <c r="J25" s="995"/>
      <c r="K25" s="995"/>
      <c r="L25" s="995"/>
      <c r="M25" s="995"/>
      <c r="N25" s="995"/>
      <c r="O25" s="995"/>
      <c r="P25" s="995"/>
      <c r="Q25" s="996"/>
      <c r="R25" s="675">
        <f>SUM(C25:Q25)</f>
        <v>1795.1520707699201</v>
      </c>
      <c r="S25" s="67"/>
    </row>
    <row r="26" spans="1:19" s="448" customFormat="1" ht="15.75" thickBot="1">
      <c r="A26" s="680" t="s">
        <v>850</v>
      </c>
      <c r="B26" s="792"/>
      <c r="C26" s="787">
        <f>SUM(C24:C25)</f>
        <v>2579.8876</v>
      </c>
      <c r="D26" s="787">
        <f t="shared" ref="D26:R26" si="2">SUM(D24:D25)</f>
        <v>0</v>
      </c>
      <c r="E26" s="787">
        <f t="shared" si="2"/>
        <v>990.00269617921208</v>
      </c>
      <c r="F26" s="787">
        <f t="shared" si="2"/>
        <v>15.946328471063776</v>
      </c>
      <c r="G26" s="787">
        <f t="shared" si="2"/>
        <v>4368.0677595114339</v>
      </c>
      <c r="H26" s="787">
        <f t="shared" si="2"/>
        <v>0</v>
      </c>
      <c r="I26" s="787">
        <f t="shared" si="2"/>
        <v>0</v>
      </c>
      <c r="J26" s="787">
        <f t="shared" si="2"/>
        <v>0</v>
      </c>
      <c r="K26" s="787">
        <f t="shared" si="2"/>
        <v>263.94294609063587</v>
      </c>
      <c r="L26" s="787">
        <f t="shared" si="2"/>
        <v>0</v>
      </c>
      <c r="M26" s="787">
        <f t="shared" si="2"/>
        <v>0</v>
      </c>
      <c r="N26" s="787">
        <f t="shared" si="2"/>
        <v>0</v>
      </c>
      <c r="O26" s="787">
        <f t="shared" si="2"/>
        <v>0</v>
      </c>
      <c r="P26" s="787">
        <f t="shared" si="2"/>
        <v>0</v>
      </c>
      <c r="Q26" s="787">
        <f t="shared" si="2"/>
        <v>0</v>
      </c>
      <c r="R26" s="787">
        <f t="shared" si="2"/>
        <v>8217.8473302523453</v>
      </c>
      <c r="S26" s="67"/>
    </row>
    <row r="27" spans="1:19" s="448" customFormat="1" ht="17.25" thickTop="1" thickBot="1">
      <c r="A27" s="681" t="s">
        <v>115</v>
      </c>
      <c r="B27" s="780"/>
      <c r="C27" s="682">
        <f ca="1">C22+C16+C26</f>
        <v>80584.260137936901</v>
      </c>
      <c r="D27" s="682">
        <f t="shared" ref="D27:R27" ca="1" si="3">D22+D16+D26</f>
        <v>0</v>
      </c>
      <c r="E27" s="682">
        <f t="shared" ca="1" si="3"/>
        <v>47573.454196430874</v>
      </c>
      <c r="F27" s="682">
        <f t="shared" si="3"/>
        <v>12240.589307235325</v>
      </c>
      <c r="G27" s="682">
        <f t="shared" ca="1" si="3"/>
        <v>64576.051671711793</v>
      </c>
      <c r="H27" s="682">
        <f t="shared" si="3"/>
        <v>47776.196505714899</v>
      </c>
      <c r="I27" s="682">
        <f t="shared" si="3"/>
        <v>8102.018152243505</v>
      </c>
      <c r="J27" s="682">
        <f t="shared" si="3"/>
        <v>0</v>
      </c>
      <c r="K27" s="682">
        <f t="shared" si="3"/>
        <v>859.23329588586626</v>
      </c>
      <c r="L27" s="682">
        <f t="shared" si="3"/>
        <v>0</v>
      </c>
      <c r="M27" s="682">
        <f t="shared" ca="1" si="3"/>
        <v>0</v>
      </c>
      <c r="N27" s="682">
        <f t="shared" si="3"/>
        <v>3016.3915988090057</v>
      </c>
      <c r="O27" s="682">
        <f t="shared" ca="1" si="3"/>
        <v>13452.657207628756</v>
      </c>
      <c r="P27" s="682">
        <f t="shared" si="3"/>
        <v>226.68333333333337</v>
      </c>
      <c r="Q27" s="682">
        <f t="shared" si="3"/>
        <v>648.26666666666665</v>
      </c>
      <c r="R27" s="682">
        <f t="shared" ca="1" si="3"/>
        <v>279055.80207359692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2649.3808187856343</v>
      </c>
      <c r="D40" s="991">
        <f ca="1">tertiair!C20</f>
        <v>0</v>
      </c>
      <c r="E40" s="991">
        <f ca="1">tertiair!D20</f>
        <v>1521.087321913212</v>
      </c>
      <c r="F40" s="991">
        <f>tertiair!E20</f>
        <v>30.560085790097656</v>
      </c>
      <c r="G40" s="991">
        <f ca="1">tertiair!F20</f>
        <v>470.16594383379163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4671.1941703227358</v>
      </c>
    </row>
    <row r="41" spans="1:18">
      <c r="A41" s="797" t="s">
        <v>224</v>
      </c>
      <c r="B41" s="804"/>
      <c r="C41" s="991">
        <f ca="1">huishoudens!B12</f>
        <v>5844.0424786354924</v>
      </c>
      <c r="D41" s="991">
        <f ca="1">huishoudens!C12</f>
        <v>0</v>
      </c>
      <c r="E41" s="991">
        <f>huishoudens!D12</f>
        <v>5454.4409361820171</v>
      </c>
      <c r="F41" s="991">
        <f>huishoudens!E12</f>
        <v>2260.2009430157909</v>
      </c>
      <c r="G41" s="991">
        <f>huishoudens!F12</f>
        <v>12146.956256207593</v>
      </c>
      <c r="H41" s="991">
        <f>huishoudens!G12</f>
        <v>0</v>
      </c>
      <c r="I41" s="991">
        <f>huishoudens!H12</f>
        <v>0</v>
      </c>
      <c r="J41" s="991">
        <f>huishoudens!I12</f>
        <v>0</v>
      </c>
      <c r="K41" s="991">
        <f>huishoudens!J12</f>
        <v>153.45902046985773</v>
      </c>
      <c r="L41" s="991">
        <f>huishoudens!K12</f>
        <v>0</v>
      </c>
      <c r="M41" s="991">
        <f>huishoudens!L12</f>
        <v>0</v>
      </c>
      <c r="N41" s="991">
        <f>huishoudens!M12</f>
        <v>0</v>
      </c>
      <c r="O41" s="991">
        <f>huishoudens!N12</f>
        <v>0</v>
      </c>
      <c r="P41" s="991">
        <f>huishoudens!O12</f>
        <v>0</v>
      </c>
      <c r="Q41" s="749">
        <f>huishoudens!P12</f>
        <v>0</v>
      </c>
      <c r="R41" s="825">
        <f t="shared" ca="1" si="4"/>
        <v>25859.099634510752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6564.3741313295941</v>
      </c>
      <c r="D43" s="991">
        <f ca="1">industrie!C22</f>
        <v>0</v>
      </c>
      <c r="E43" s="991">
        <f>industrie!D22</f>
        <v>2431.6286266152988</v>
      </c>
      <c r="F43" s="991">
        <f>industrie!E22</f>
        <v>455.31595070607028</v>
      </c>
      <c r="G43" s="991">
        <f>industrie!F22</f>
        <v>3458.4095045161125</v>
      </c>
      <c r="H43" s="991">
        <f>industrie!G22</f>
        <v>0</v>
      </c>
      <c r="I43" s="991">
        <f>industrie!H22</f>
        <v>0</v>
      </c>
      <c r="J43" s="991">
        <f>industrie!I22</f>
        <v>0</v>
      </c>
      <c r="K43" s="991">
        <f>industrie!J22</f>
        <v>57.273763357653806</v>
      </c>
      <c r="L43" s="991">
        <f>industrie!K22</f>
        <v>0</v>
      </c>
      <c r="M43" s="991">
        <f>industrie!L22</f>
        <v>0</v>
      </c>
      <c r="N43" s="991">
        <f>industrie!M22</f>
        <v>0</v>
      </c>
      <c r="O43" s="991">
        <f>industrie!N22</f>
        <v>0</v>
      </c>
      <c r="P43" s="991">
        <f>industrie!O22</f>
        <v>0</v>
      </c>
      <c r="Q43" s="749">
        <f>industrie!P22</f>
        <v>0</v>
      </c>
      <c r="R43" s="824">
        <f t="shared" ca="1" si="4"/>
        <v>12967.001976524729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15057.79742875072</v>
      </c>
      <c r="D46" s="707">
        <f t="shared" ref="D46:Q46" ca="1" si="5">SUM(D39:D45)</f>
        <v>0</v>
      </c>
      <c r="E46" s="707">
        <f t="shared" ca="1" si="5"/>
        <v>9407.1568847105282</v>
      </c>
      <c r="F46" s="707">
        <f t="shared" si="5"/>
        <v>2746.0769795119591</v>
      </c>
      <c r="G46" s="707">
        <f t="shared" ca="1" si="5"/>
        <v>16075.531704557498</v>
      </c>
      <c r="H46" s="707">
        <f t="shared" si="5"/>
        <v>0</v>
      </c>
      <c r="I46" s="707">
        <f t="shared" si="5"/>
        <v>0</v>
      </c>
      <c r="J46" s="707">
        <f t="shared" si="5"/>
        <v>0</v>
      </c>
      <c r="K46" s="707">
        <f t="shared" si="5"/>
        <v>210.73278382751153</v>
      </c>
      <c r="L46" s="707">
        <f t="shared" si="5"/>
        <v>0</v>
      </c>
      <c r="M46" s="707">
        <f t="shared" ca="1" si="5"/>
        <v>0</v>
      </c>
      <c r="N46" s="707">
        <f t="shared" si="5"/>
        <v>0</v>
      </c>
      <c r="O46" s="707">
        <f t="shared" ca="1" si="5"/>
        <v>0</v>
      </c>
      <c r="P46" s="707">
        <f t="shared" si="5"/>
        <v>0</v>
      </c>
      <c r="Q46" s="707">
        <f t="shared" si="5"/>
        <v>0</v>
      </c>
      <c r="R46" s="707">
        <f ca="1">SUM(R39:R45)</f>
        <v>43497.295781358218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218.41151694657933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218.41151694657933</v>
      </c>
    </row>
    <row r="50" spans="1:18">
      <c r="A50" s="800" t="s">
        <v>306</v>
      </c>
      <c r="B50" s="810"/>
      <c r="C50" s="678">
        <f ca="1">transport!B18</f>
        <v>1.2940556484519308</v>
      </c>
      <c r="D50" s="678">
        <f>transport!C18</f>
        <v>0</v>
      </c>
      <c r="E50" s="678">
        <f>transport!D18</f>
        <v>2.7003183403080691</v>
      </c>
      <c r="F50" s="678">
        <f>transport!E18</f>
        <v>28.916976667528573</v>
      </c>
      <c r="G50" s="678">
        <f>transport!F18</f>
        <v>0</v>
      </c>
      <c r="H50" s="678">
        <f>transport!G18</f>
        <v>12537.832950079301</v>
      </c>
      <c r="I50" s="678">
        <f>transport!H18</f>
        <v>2017.4025199086327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14588.146820644222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1.2940556484519308</v>
      </c>
      <c r="D52" s="707">
        <f t="shared" ref="D52:Q52" ca="1" si="6">SUM(D48:D51)</f>
        <v>0</v>
      </c>
      <c r="E52" s="707">
        <f t="shared" si="6"/>
        <v>2.7003183403080691</v>
      </c>
      <c r="F52" s="707">
        <f t="shared" si="6"/>
        <v>28.916976667528573</v>
      </c>
      <c r="G52" s="707">
        <f t="shared" si="6"/>
        <v>0</v>
      </c>
      <c r="H52" s="707">
        <f t="shared" si="6"/>
        <v>12756.244467025879</v>
      </c>
      <c r="I52" s="707">
        <f t="shared" si="6"/>
        <v>2017.4025199086327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14806.558337590801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332.36563543148105</v>
      </c>
      <c r="D54" s="678">
        <f ca="1">+landbouw!C12</f>
        <v>0</v>
      </c>
      <c r="E54" s="678">
        <f>+landbouw!D12</f>
        <v>10.730689532676992</v>
      </c>
      <c r="F54" s="678">
        <f>+landbouw!E12</f>
        <v>3.6198165629314771</v>
      </c>
      <c r="G54" s="678">
        <f>+landbouw!F12</f>
        <v>1166.2740917895528</v>
      </c>
      <c r="H54" s="678">
        <f>+landbouw!G12</f>
        <v>0</v>
      </c>
      <c r="I54" s="678">
        <f>+landbouw!H12</f>
        <v>0</v>
      </c>
      <c r="J54" s="678">
        <f>+landbouw!I12</f>
        <v>0</v>
      </c>
      <c r="K54" s="678">
        <f>+landbouw!J12</f>
        <v>93.435802916085095</v>
      </c>
      <c r="L54" s="678">
        <f>+landbouw!K12</f>
        <v>0</v>
      </c>
      <c r="M54" s="678">
        <f>+landbouw!L12</f>
        <v>0</v>
      </c>
      <c r="N54" s="678">
        <f>+landbouw!M12</f>
        <v>0</v>
      </c>
      <c r="O54" s="678">
        <f>+landbouw!N12</f>
        <v>0</v>
      </c>
      <c r="P54" s="678">
        <f>+landbouw!O12</f>
        <v>0</v>
      </c>
      <c r="Q54" s="679">
        <f>+landbouw!P12</f>
        <v>0</v>
      </c>
      <c r="R54" s="706">
        <f ca="1">SUM(C54:Q54)</f>
        <v>1606.4260362327275</v>
      </c>
    </row>
    <row r="55" spans="1:18" ht="15" thickBot="1">
      <c r="A55" s="800" t="s">
        <v>849</v>
      </c>
      <c r="B55" s="810"/>
      <c r="C55" s="678">
        <f ca="1">C25*'EF ele_warmte'!B12</f>
        <v>165.69315440074553</v>
      </c>
      <c r="D55" s="678"/>
      <c r="E55" s="678">
        <f>E25*EF_CO2_aardgas</f>
        <v>189.24985509552386</v>
      </c>
      <c r="F55" s="678"/>
      <c r="G55" s="678"/>
      <c r="H55" s="678"/>
      <c r="I55" s="678"/>
      <c r="J55" s="678"/>
      <c r="K55" s="678"/>
      <c r="L55" s="678"/>
      <c r="M55" s="678"/>
      <c r="N55" s="678"/>
      <c r="O55" s="678"/>
      <c r="P55" s="678"/>
      <c r="Q55" s="679"/>
      <c r="R55" s="706">
        <f ca="1">SUM(C55:Q55)</f>
        <v>354.94300949626938</v>
      </c>
    </row>
    <row r="56" spans="1:18" ht="15.75" thickBot="1">
      <c r="A56" s="798" t="s">
        <v>850</v>
      </c>
      <c r="B56" s="811"/>
      <c r="C56" s="707">
        <f ca="1">SUM(C54:C55)</f>
        <v>498.05878983222658</v>
      </c>
      <c r="D56" s="707">
        <f t="shared" ref="D56:Q56" ca="1" si="7">SUM(D54:D55)</f>
        <v>0</v>
      </c>
      <c r="E56" s="707">
        <f t="shared" si="7"/>
        <v>199.98054462820085</v>
      </c>
      <c r="F56" s="707">
        <f t="shared" si="7"/>
        <v>3.6198165629314771</v>
      </c>
      <c r="G56" s="707">
        <f t="shared" si="7"/>
        <v>1166.2740917895528</v>
      </c>
      <c r="H56" s="707">
        <f t="shared" si="7"/>
        <v>0</v>
      </c>
      <c r="I56" s="707">
        <f t="shared" si="7"/>
        <v>0</v>
      </c>
      <c r="J56" s="707">
        <f t="shared" si="7"/>
        <v>0</v>
      </c>
      <c r="K56" s="707">
        <f t="shared" si="7"/>
        <v>93.435802916085095</v>
      </c>
      <c r="L56" s="707">
        <f t="shared" si="7"/>
        <v>0</v>
      </c>
      <c r="M56" s="707">
        <f t="shared" si="7"/>
        <v>0</v>
      </c>
      <c r="N56" s="707">
        <f t="shared" si="7"/>
        <v>0</v>
      </c>
      <c r="O56" s="707">
        <f t="shared" si="7"/>
        <v>0</v>
      </c>
      <c r="P56" s="707">
        <f t="shared" si="7"/>
        <v>0</v>
      </c>
      <c r="Q56" s="708">
        <f t="shared" si="7"/>
        <v>0</v>
      </c>
      <c r="R56" s="709">
        <f ca="1">SUM(R54:R55)</f>
        <v>1961.3690457289968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15557.150274231399</v>
      </c>
      <c r="D61" s="715">
        <f t="shared" ref="D61:Q61" ca="1" si="8">D46+D52+D56</f>
        <v>0</v>
      </c>
      <c r="E61" s="715">
        <f t="shared" ca="1" si="8"/>
        <v>9609.8377476790374</v>
      </c>
      <c r="F61" s="715">
        <f t="shared" si="8"/>
        <v>2778.6137727424193</v>
      </c>
      <c r="G61" s="715">
        <f t="shared" ca="1" si="8"/>
        <v>17241.805796347049</v>
      </c>
      <c r="H61" s="715">
        <f t="shared" si="8"/>
        <v>12756.244467025879</v>
      </c>
      <c r="I61" s="715">
        <f t="shared" si="8"/>
        <v>2017.4025199086327</v>
      </c>
      <c r="J61" s="715">
        <f t="shared" si="8"/>
        <v>0</v>
      </c>
      <c r="K61" s="715">
        <f t="shared" si="8"/>
        <v>304.16858674359662</v>
      </c>
      <c r="L61" s="715">
        <f t="shared" si="8"/>
        <v>0</v>
      </c>
      <c r="M61" s="715">
        <f t="shared" ca="1" si="8"/>
        <v>0</v>
      </c>
      <c r="N61" s="715">
        <f t="shared" si="8"/>
        <v>0</v>
      </c>
      <c r="O61" s="715">
        <f t="shared" ca="1" si="8"/>
        <v>0</v>
      </c>
      <c r="P61" s="715">
        <f t="shared" si="8"/>
        <v>0</v>
      </c>
      <c r="Q61" s="715">
        <f t="shared" si="8"/>
        <v>0</v>
      </c>
      <c r="R61" s="715">
        <f ca="1">R46+R52+R56</f>
        <v>60265.22316467802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0.19305445315998515</v>
      </c>
      <c r="D63" s="756">
        <f t="shared" ca="1" si="9"/>
        <v>0</v>
      </c>
      <c r="E63" s="1002">
        <f t="shared" ca="1" si="9"/>
        <v>0.20200000000000001</v>
      </c>
      <c r="F63" s="756">
        <f t="shared" si="9"/>
        <v>0.22700000000000006</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10189.91500566813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10189.91500566813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10189.91500566813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10189.91500566813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30271.472027596825</v>
      </c>
      <c r="C4" s="452">
        <f>huishoudens!C8</f>
        <v>0</v>
      </c>
      <c r="D4" s="452">
        <f>huishoudens!D8</f>
        <v>27002.18285238622</v>
      </c>
      <c r="E4" s="452">
        <f>huishoudens!E8</f>
        <v>9956.8323480871841</v>
      </c>
      <c r="F4" s="452">
        <f>huishoudens!F8</f>
        <v>45494.218188043422</v>
      </c>
      <c r="G4" s="452">
        <f>huishoudens!G8</f>
        <v>0</v>
      </c>
      <c r="H4" s="452">
        <f>huishoudens!H8</f>
        <v>0</v>
      </c>
      <c r="I4" s="452">
        <f>huishoudens!I8</f>
        <v>0</v>
      </c>
      <c r="J4" s="452">
        <f>huishoudens!J8</f>
        <v>433.50005782445686</v>
      </c>
      <c r="K4" s="452">
        <f>huishoudens!K8</f>
        <v>0</v>
      </c>
      <c r="L4" s="452">
        <f>huishoudens!L8</f>
        <v>0</v>
      </c>
      <c r="M4" s="452">
        <f>huishoudens!M8</f>
        <v>0</v>
      </c>
      <c r="N4" s="452">
        <f>huishoudens!N8</f>
        <v>9899.8386696792186</v>
      </c>
      <c r="O4" s="452">
        <f>huishoudens!O8</f>
        <v>225.12000000000003</v>
      </c>
      <c r="P4" s="453">
        <f>huishoudens!P8</f>
        <v>610.13333333333333</v>
      </c>
      <c r="Q4" s="454">
        <f>SUM(B4:P4)</f>
        <v>123893.29747695065</v>
      </c>
    </row>
    <row r="5" spans="1:17">
      <c r="A5" s="451" t="s">
        <v>155</v>
      </c>
      <c r="B5" s="452">
        <f ca="1">tertiair!B16</f>
        <v>12410.7598</v>
      </c>
      <c r="C5" s="452">
        <f ca="1">tertiair!C16</f>
        <v>0</v>
      </c>
      <c r="D5" s="452">
        <f ca="1">tertiair!D16</f>
        <v>7530.1352569960982</v>
      </c>
      <c r="E5" s="452">
        <f>tertiair!E16</f>
        <v>134.62592859073857</v>
      </c>
      <c r="F5" s="452">
        <f ca="1">tertiair!F16</f>
        <v>1760.9211379542758</v>
      </c>
      <c r="G5" s="452">
        <f>tertiair!G16</f>
        <v>0</v>
      </c>
      <c r="H5" s="452">
        <f>tertiair!H16</f>
        <v>0</v>
      </c>
      <c r="I5" s="452">
        <f>tertiair!I16</f>
        <v>0</v>
      </c>
      <c r="J5" s="452">
        <f>tertiair!J16</f>
        <v>0</v>
      </c>
      <c r="K5" s="452">
        <f>tertiair!K16</f>
        <v>0</v>
      </c>
      <c r="L5" s="452">
        <f ca="1">tertiair!L16</f>
        <v>0</v>
      </c>
      <c r="M5" s="452">
        <f>tertiair!M16</f>
        <v>0</v>
      </c>
      <c r="N5" s="452">
        <f ca="1">tertiair!N16</f>
        <v>583.89800004163624</v>
      </c>
      <c r="O5" s="452">
        <f>tertiair!O16</f>
        <v>1.5633333333333335</v>
      </c>
      <c r="P5" s="453">
        <f>tertiair!P16</f>
        <v>38.133333333333333</v>
      </c>
      <c r="Q5" s="451">
        <f t="shared" ref="Q5:Q14" ca="1" si="0">SUM(B5:P5)</f>
        <v>22460.036790249418</v>
      </c>
    </row>
    <row r="6" spans="1:17">
      <c r="A6" s="451" t="s">
        <v>193</v>
      </c>
      <c r="B6" s="452">
        <f>'openbare verlichting'!B8</f>
        <v>1312.73</v>
      </c>
      <c r="C6" s="452"/>
      <c r="D6" s="452"/>
      <c r="E6" s="452"/>
      <c r="F6" s="452"/>
      <c r="G6" s="452"/>
      <c r="H6" s="452"/>
      <c r="I6" s="452"/>
      <c r="J6" s="452"/>
      <c r="K6" s="452"/>
      <c r="L6" s="452"/>
      <c r="M6" s="452"/>
      <c r="N6" s="452"/>
      <c r="O6" s="452"/>
      <c r="P6" s="453"/>
      <c r="Q6" s="451">
        <f t="shared" si="0"/>
        <v>1312.73</v>
      </c>
    </row>
    <row r="7" spans="1:17">
      <c r="A7" s="451" t="s">
        <v>111</v>
      </c>
      <c r="B7" s="452">
        <f>landbouw!B8</f>
        <v>1721.616</v>
      </c>
      <c r="C7" s="452">
        <f>landbouw!C8</f>
        <v>0</v>
      </c>
      <c r="D7" s="452">
        <f>landbouw!D8</f>
        <v>53.122225409292035</v>
      </c>
      <c r="E7" s="452">
        <f>landbouw!E8</f>
        <v>15.946328471063776</v>
      </c>
      <c r="F7" s="452">
        <f>landbouw!F8</f>
        <v>4368.0677595114339</v>
      </c>
      <c r="G7" s="452">
        <f>landbouw!G8</f>
        <v>0</v>
      </c>
      <c r="H7" s="452">
        <f>landbouw!H8</f>
        <v>0</v>
      </c>
      <c r="I7" s="452">
        <f>landbouw!I8</f>
        <v>0</v>
      </c>
      <c r="J7" s="452">
        <f>landbouw!J8</f>
        <v>263.94294609063587</v>
      </c>
      <c r="K7" s="452">
        <f>landbouw!K8</f>
        <v>0</v>
      </c>
      <c r="L7" s="452">
        <f>landbouw!L8</f>
        <v>0</v>
      </c>
      <c r="M7" s="452">
        <f>landbouw!M8</f>
        <v>0</v>
      </c>
      <c r="N7" s="452">
        <f>landbouw!N8</f>
        <v>0</v>
      </c>
      <c r="O7" s="452">
        <f>landbouw!O8</f>
        <v>0</v>
      </c>
      <c r="P7" s="453">
        <f>landbouw!P8</f>
        <v>0</v>
      </c>
      <c r="Q7" s="451">
        <f t="shared" si="0"/>
        <v>6422.6952594824252</v>
      </c>
    </row>
    <row r="8" spans="1:17">
      <c r="A8" s="451" t="s">
        <v>649</v>
      </c>
      <c r="B8" s="452">
        <f>industrie!B18</f>
        <v>34002.707649999997</v>
      </c>
      <c r="C8" s="452">
        <f>industrie!C18</f>
        <v>0</v>
      </c>
      <c r="D8" s="452">
        <f>industrie!D18</f>
        <v>12037.765478293557</v>
      </c>
      <c r="E8" s="452">
        <f>industrie!E18</f>
        <v>2005.7971396743183</v>
      </c>
      <c r="F8" s="452">
        <f>industrie!F18</f>
        <v>12952.844586202667</v>
      </c>
      <c r="G8" s="452">
        <f>industrie!G18</f>
        <v>0</v>
      </c>
      <c r="H8" s="452">
        <f>industrie!H18</f>
        <v>0</v>
      </c>
      <c r="I8" s="452">
        <f>industrie!I18</f>
        <v>0</v>
      </c>
      <c r="J8" s="452">
        <f>industrie!J18</f>
        <v>161.79029197077347</v>
      </c>
      <c r="K8" s="452">
        <f>industrie!K18</f>
        <v>0</v>
      </c>
      <c r="L8" s="452">
        <f>industrie!L18</f>
        <v>0</v>
      </c>
      <c r="M8" s="452">
        <f>industrie!M18</f>
        <v>0</v>
      </c>
      <c r="N8" s="452">
        <f>industrie!N18</f>
        <v>2968.9205379079003</v>
      </c>
      <c r="O8" s="452">
        <f>industrie!O18</f>
        <v>0</v>
      </c>
      <c r="P8" s="453">
        <f>industrie!P18</f>
        <v>0</v>
      </c>
      <c r="Q8" s="451">
        <f t="shared" si="0"/>
        <v>64129.825684049203</v>
      </c>
    </row>
    <row r="9" spans="1:17" s="457" customFormat="1">
      <c r="A9" s="455" t="s">
        <v>570</v>
      </c>
      <c r="B9" s="456">
        <f>transport!B14</f>
        <v>6.7030603400769024</v>
      </c>
      <c r="C9" s="456">
        <f>transport!C14</f>
        <v>0</v>
      </c>
      <c r="D9" s="456">
        <f>transport!D14</f>
        <v>13.367912575782519</v>
      </c>
      <c r="E9" s="456">
        <f>transport!E14</f>
        <v>127.38756241202015</v>
      </c>
      <c r="F9" s="456">
        <f>transport!F14</f>
        <v>0</v>
      </c>
      <c r="G9" s="456">
        <f>transport!G14</f>
        <v>46958.175842993631</v>
      </c>
      <c r="H9" s="456">
        <f>transport!H14</f>
        <v>8102.018152243505</v>
      </c>
      <c r="I9" s="456">
        <f>transport!I14</f>
        <v>0</v>
      </c>
      <c r="J9" s="456">
        <f>transport!J14</f>
        <v>0</v>
      </c>
      <c r="K9" s="456">
        <f>transport!K14</f>
        <v>0</v>
      </c>
      <c r="L9" s="456">
        <f>transport!L14</f>
        <v>0</v>
      </c>
      <c r="M9" s="456">
        <f>transport!M14</f>
        <v>2969.6360275438028</v>
      </c>
      <c r="N9" s="456">
        <f>transport!N14</f>
        <v>0</v>
      </c>
      <c r="O9" s="456">
        <f>transport!O14</f>
        <v>0</v>
      </c>
      <c r="P9" s="456">
        <f>transport!P14</f>
        <v>0</v>
      </c>
      <c r="Q9" s="455">
        <f>SUM(B9:P9)</f>
        <v>58177.288558108819</v>
      </c>
    </row>
    <row r="10" spans="1:17">
      <c r="A10" s="451" t="s">
        <v>560</v>
      </c>
      <c r="B10" s="452">
        <f>transport!B54</f>
        <v>0</v>
      </c>
      <c r="C10" s="452">
        <f>transport!C54</f>
        <v>0</v>
      </c>
      <c r="D10" s="452">
        <f>transport!D54</f>
        <v>0</v>
      </c>
      <c r="E10" s="452">
        <f>transport!E54</f>
        <v>0</v>
      </c>
      <c r="F10" s="452">
        <f>transport!F54</f>
        <v>0</v>
      </c>
      <c r="G10" s="452">
        <f>transport!G54</f>
        <v>818.02066272127081</v>
      </c>
      <c r="H10" s="452">
        <f>transport!H54</f>
        <v>0</v>
      </c>
      <c r="I10" s="452">
        <f>transport!I54</f>
        <v>0</v>
      </c>
      <c r="J10" s="452">
        <f>transport!J54</f>
        <v>0</v>
      </c>
      <c r="K10" s="452">
        <f>transport!K54</f>
        <v>0</v>
      </c>
      <c r="L10" s="452">
        <f>transport!L54</f>
        <v>0</v>
      </c>
      <c r="M10" s="452">
        <f>transport!M54</f>
        <v>46.755571265203073</v>
      </c>
      <c r="N10" s="452">
        <f>transport!N54</f>
        <v>0</v>
      </c>
      <c r="O10" s="452">
        <f>transport!O54</f>
        <v>0</v>
      </c>
      <c r="P10" s="453">
        <f>transport!P54</f>
        <v>0</v>
      </c>
      <c r="Q10" s="451">
        <f t="shared" si="0"/>
        <v>864.77623398647393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858.27159999999992</v>
      </c>
      <c r="C14" s="459"/>
      <c r="D14" s="459">
        <f>'SEAP template'!E25</f>
        <v>936.88047076992007</v>
      </c>
      <c r="E14" s="459"/>
      <c r="F14" s="459"/>
      <c r="G14" s="459"/>
      <c r="H14" s="459"/>
      <c r="I14" s="459"/>
      <c r="J14" s="459"/>
      <c r="K14" s="459"/>
      <c r="L14" s="459"/>
      <c r="M14" s="459"/>
      <c r="N14" s="459"/>
      <c r="O14" s="459"/>
      <c r="P14" s="460"/>
      <c r="Q14" s="451">
        <f t="shared" si="0"/>
        <v>1795.1520707699201</v>
      </c>
    </row>
    <row r="15" spans="1:17" s="461" customFormat="1">
      <c r="A15" s="1017" t="s">
        <v>564</v>
      </c>
      <c r="B15" s="957">
        <f ca="1">SUM(B4:B14)</f>
        <v>80584.260137936901</v>
      </c>
      <c r="C15" s="957">
        <f t="shared" ref="C15:Q15" ca="1" si="1">SUM(C4:C14)</f>
        <v>0</v>
      </c>
      <c r="D15" s="957">
        <f t="shared" ca="1" si="1"/>
        <v>47573.454196430874</v>
      </c>
      <c r="E15" s="957">
        <f t="shared" si="1"/>
        <v>12240.589307235325</v>
      </c>
      <c r="F15" s="957">
        <f t="shared" ca="1" si="1"/>
        <v>64576.051671711801</v>
      </c>
      <c r="G15" s="957">
        <f t="shared" si="1"/>
        <v>47776.196505714899</v>
      </c>
      <c r="H15" s="957">
        <f t="shared" si="1"/>
        <v>8102.018152243505</v>
      </c>
      <c r="I15" s="957">
        <f t="shared" si="1"/>
        <v>0</v>
      </c>
      <c r="J15" s="957">
        <f t="shared" si="1"/>
        <v>859.23329588586626</v>
      </c>
      <c r="K15" s="957">
        <f t="shared" si="1"/>
        <v>0</v>
      </c>
      <c r="L15" s="957">
        <f t="shared" ca="1" si="1"/>
        <v>0</v>
      </c>
      <c r="M15" s="957">
        <f t="shared" si="1"/>
        <v>3016.3915988090057</v>
      </c>
      <c r="N15" s="957">
        <f t="shared" ca="1" si="1"/>
        <v>13452.657207628756</v>
      </c>
      <c r="O15" s="957">
        <f t="shared" si="1"/>
        <v>226.68333333333337</v>
      </c>
      <c r="P15" s="957">
        <f t="shared" si="1"/>
        <v>648.26666666666665</v>
      </c>
      <c r="Q15" s="957">
        <f t="shared" ca="1" si="1"/>
        <v>279055.80207359698</v>
      </c>
    </row>
    <row r="17" spans="1:17">
      <c r="A17" s="462" t="s">
        <v>565</v>
      </c>
      <c r="B17" s="761">
        <f ca="1">huishoudens!B10</f>
        <v>0.19305445315998518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5844.0424786354924</v>
      </c>
      <c r="C22" s="452">
        <f t="shared" ref="C22:C32" ca="1" si="3">C4*$C$17</f>
        <v>0</v>
      </c>
      <c r="D22" s="452">
        <f t="shared" ref="D22:D32" si="4">D4*$D$17</f>
        <v>5454.4409361820171</v>
      </c>
      <c r="E22" s="452">
        <f t="shared" ref="E22:E32" si="5">E4*$E$17</f>
        <v>2260.2009430157909</v>
      </c>
      <c r="F22" s="452">
        <f t="shared" ref="F22:F32" si="6">F4*$F$17</f>
        <v>12146.956256207593</v>
      </c>
      <c r="G22" s="452">
        <f t="shared" ref="G22:G32" si="7">G4*$G$17</f>
        <v>0</v>
      </c>
      <c r="H22" s="452">
        <f t="shared" ref="H22:H32" si="8">H4*$H$17</f>
        <v>0</v>
      </c>
      <c r="I22" s="452">
        <f t="shared" ref="I22:I32" si="9">I4*$I$17</f>
        <v>0</v>
      </c>
      <c r="J22" s="452">
        <f t="shared" ref="J22:J32" si="10">J4*$J$17</f>
        <v>153.45902046985773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25859.099634510752</v>
      </c>
    </row>
    <row r="23" spans="1:17">
      <c r="A23" s="451" t="s">
        <v>155</v>
      </c>
      <c r="B23" s="452">
        <f t="shared" ca="1" si="2"/>
        <v>2395.9524464889269</v>
      </c>
      <c r="C23" s="452">
        <f t="shared" ca="1" si="3"/>
        <v>0</v>
      </c>
      <c r="D23" s="452">
        <f t="shared" ca="1" si="4"/>
        <v>1521.087321913212</v>
      </c>
      <c r="E23" s="452">
        <f t="shared" si="5"/>
        <v>30.560085790097656</v>
      </c>
      <c r="F23" s="452">
        <f t="shared" ca="1" si="6"/>
        <v>470.16594383379163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4417.7657980260283</v>
      </c>
    </row>
    <row r="24" spans="1:17">
      <c r="A24" s="451" t="s">
        <v>193</v>
      </c>
      <c r="B24" s="452">
        <f t="shared" ca="1" si="2"/>
        <v>253.42837229670735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253.42837229670735</v>
      </c>
    </row>
    <row r="25" spans="1:17">
      <c r="A25" s="451" t="s">
        <v>111</v>
      </c>
      <c r="B25" s="452">
        <f t="shared" ca="1" si="2"/>
        <v>332.36563543148105</v>
      </c>
      <c r="C25" s="452">
        <f t="shared" ca="1" si="3"/>
        <v>0</v>
      </c>
      <c r="D25" s="452">
        <f t="shared" si="4"/>
        <v>10.730689532676992</v>
      </c>
      <c r="E25" s="452">
        <f t="shared" si="5"/>
        <v>3.6198165629314771</v>
      </c>
      <c r="F25" s="452">
        <f t="shared" si="6"/>
        <v>1166.2740917895528</v>
      </c>
      <c r="G25" s="452">
        <f t="shared" si="7"/>
        <v>0</v>
      </c>
      <c r="H25" s="452">
        <f t="shared" si="8"/>
        <v>0</v>
      </c>
      <c r="I25" s="452">
        <f t="shared" si="9"/>
        <v>0</v>
      </c>
      <c r="J25" s="452">
        <f t="shared" si="10"/>
        <v>93.435802916085095</v>
      </c>
      <c r="K25" s="452">
        <f t="shared" si="11"/>
        <v>0</v>
      </c>
      <c r="L25" s="452">
        <f t="shared" si="12"/>
        <v>0</v>
      </c>
      <c r="M25" s="452">
        <f t="shared" si="13"/>
        <v>0</v>
      </c>
      <c r="N25" s="452">
        <f t="shared" si="14"/>
        <v>0</v>
      </c>
      <c r="O25" s="452">
        <f t="shared" si="15"/>
        <v>0</v>
      </c>
      <c r="P25" s="453">
        <f t="shared" si="16"/>
        <v>0</v>
      </c>
      <c r="Q25" s="451">
        <f t="shared" ca="1" si="17"/>
        <v>1606.4260362327275</v>
      </c>
    </row>
    <row r="26" spans="1:17">
      <c r="A26" s="451" t="s">
        <v>649</v>
      </c>
      <c r="B26" s="452">
        <f t="shared" ca="1" si="2"/>
        <v>6564.3741313295941</v>
      </c>
      <c r="C26" s="452">
        <f t="shared" ca="1" si="3"/>
        <v>0</v>
      </c>
      <c r="D26" s="452">
        <f t="shared" si="4"/>
        <v>2431.6286266152988</v>
      </c>
      <c r="E26" s="452">
        <f t="shared" si="5"/>
        <v>455.31595070607028</v>
      </c>
      <c r="F26" s="452">
        <f t="shared" si="6"/>
        <v>3458.4095045161125</v>
      </c>
      <c r="G26" s="452">
        <f t="shared" si="7"/>
        <v>0</v>
      </c>
      <c r="H26" s="452">
        <f t="shared" si="8"/>
        <v>0</v>
      </c>
      <c r="I26" s="452">
        <f t="shared" si="9"/>
        <v>0</v>
      </c>
      <c r="J26" s="452">
        <f t="shared" si="10"/>
        <v>57.273763357653806</v>
      </c>
      <c r="K26" s="452">
        <f t="shared" si="11"/>
        <v>0</v>
      </c>
      <c r="L26" s="452">
        <f t="shared" si="12"/>
        <v>0</v>
      </c>
      <c r="M26" s="452">
        <f t="shared" si="13"/>
        <v>0</v>
      </c>
      <c r="N26" s="452">
        <f t="shared" si="14"/>
        <v>0</v>
      </c>
      <c r="O26" s="452">
        <f t="shared" si="15"/>
        <v>0</v>
      </c>
      <c r="P26" s="453">
        <f t="shared" si="16"/>
        <v>0</v>
      </c>
      <c r="Q26" s="451">
        <f t="shared" ca="1" si="17"/>
        <v>12967.001976524729</v>
      </c>
    </row>
    <row r="27" spans="1:17" s="457" customFormat="1">
      <c r="A27" s="455" t="s">
        <v>570</v>
      </c>
      <c r="B27" s="755">
        <f t="shared" ca="1" si="2"/>
        <v>1.2940556484519308</v>
      </c>
      <c r="C27" s="456">
        <f t="shared" ca="1" si="3"/>
        <v>0</v>
      </c>
      <c r="D27" s="456">
        <f t="shared" si="4"/>
        <v>2.7003183403080691</v>
      </c>
      <c r="E27" s="456">
        <f t="shared" si="5"/>
        <v>28.916976667528573</v>
      </c>
      <c r="F27" s="456">
        <f t="shared" si="6"/>
        <v>0</v>
      </c>
      <c r="G27" s="456">
        <f t="shared" si="7"/>
        <v>12537.832950079301</v>
      </c>
      <c r="H27" s="456">
        <f t="shared" si="8"/>
        <v>2017.4025199086327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14588.146820644222</v>
      </c>
    </row>
    <row r="28" spans="1:17">
      <c r="A28" s="451" t="s">
        <v>560</v>
      </c>
      <c r="B28" s="452">
        <f t="shared" ca="1" si="2"/>
        <v>0</v>
      </c>
      <c r="C28" s="452">
        <f t="shared" ca="1" si="3"/>
        <v>0</v>
      </c>
      <c r="D28" s="452">
        <f t="shared" si="4"/>
        <v>0</v>
      </c>
      <c r="E28" s="452">
        <f t="shared" si="5"/>
        <v>0</v>
      </c>
      <c r="F28" s="452">
        <f t="shared" si="6"/>
        <v>0</v>
      </c>
      <c r="G28" s="452">
        <f t="shared" si="7"/>
        <v>218.41151694657933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218.41151694657933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165.69315440074553</v>
      </c>
      <c r="C32" s="452">
        <f t="shared" ca="1" si="3"/>
        <v>0</v>
      </c>
      <c r="D32" s="452">
        <f t="shared" si="4"/>
        <v>189.24985509552386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354.94300949626938</v>
      </c>
    </row>
    <row r="33" spans="1:17" s="461" customFormat="1">
      <c r="A33" s="1017" t="s">
        <v>564</v>
      </c>
      <c r="B33" s="957">
        <f ca="1">SUM(B22:B32)</f>
        <v>15557.150274231399</v>
      </c>
      <c r="C33" s="957">
        <f t="shared" ref="C33:Q33" ca="1" si="18">SUM(C22:C32)</f>
        <v>0</v>
      </c>
      <c r="D33" s="957">
        <f t="shared" ca="1" si="18"/>
        <v>9609.8377476790374</v>
      </c>
      <c r="E33" s="957">
        <f t="shared" si="18"/>
        <v>2778.6137727424193</v>
      </c>
      <c r="F33" s="957">
        <f t="shared" ca="1" si="18"/>
        <v>17241.805796347053</v>
      </c>
      <c r="G33" s="957">
        <f t="shared" si="18"/>
        <v>12756.244467025879</v>
      </c>
      <c r="H33" s="957">
        <f t="shared" si="18"/>
        <v>2017.4025199086327</v>
      </c>
      <c r="I33" s="957">
        <f t="shared" si="18"/>
        <v>0</v>
      </c>
      <c r="J33" s="957">
        <f t="shared" si="18"/>
        <v>304.16858674359662</v>
      </c>
      <c r="K33" s="957">
        <f t="shared" si="18"/>
        <v>0</v>
      </c>
      <c r="L33" s="957">
        <f t="shared" ca="1" si="18"/>
        <v>0</v>
      </c>
      <c r="M33" s="957">
        <f t="shared" si="18"/>
        <v>0</v>
      </c>
      <c r="N33" s="957">
        <f t="shared" ca="1" si="18"/>
        <v>0</v>
      </c>
      <c r="O33" s="957">
        <f t="shared" si="18"/>
        <v>0</v>
      </c>
      <c r="P33" s="957">
        <f t="shared" si="18"/>
        <v>0</v>
      </c>
      <c r="Q33" s="957">
        <f t="shared" ca="1" si="18"/>
        <v>60265.223164678013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10189.91500566813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10189.91500566813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0.19305445315998518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0.19305445315998518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2020-06-20T16:07:23Z</dcterms:modified>
</cp:coreProperties>
</file>