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D13" i="15" l="1"/>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D4" i="48"/>
  <c r="D22" i="48" s="1"/>
  <c r="E11" i="14"/>
  <c r="J15" i="16"/>
  <c r="B7" i="48"/>
  <c r="C24" i="14"/>
  <c r="C26" i="14" s="1"/>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D16" i="15"/>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Q46" i="14"/>
  <c r="Q61" i="14" s="1"/>
  <c r="Q63" i="14" s="1"/>
  <c r="P46" i="14"/>
  <c r="P61" i="14" s="1"/>
  <c r="P63" i="14" s="1"/>
  <c r="F24" i="14"/>
  <c r="F26" i="14" s="1"/>
  <c r="E7" i="48"/>
  <c r="E25" i="48"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N52" i="14"/>
  <c r="N61" i="14" s="1"/>
  <c r="N63"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22" i="16" l="1"/>
  <c r="K43" i="14" s="1"/>
  <c r="K46" i="14" s="1"/>
  <c r="K61" i="14" s="1"/>
  <c r="K13" i="14"/>
  <c r="K16" i="14" s="1"/>
  <c r="K27" i="14" s="1"/>
  <c r="J8" i="48"/>
  <c r="E23" i="48"/>
  <c r="E33" i="48" s="1"/>
  <c r="E15" i="48"/>
  <c r="E8" i="48"/>
  <c r="E26" i="48" s="1"/>
  <c r="F13" i="14"/>
  <c r="F16" i="14" s="1"/>
  <c r="F27" i="14" s="1"/>
  <c r="F63" i="14" s="1"/>
  <c r="G33" i="48"/>
  <c r="I22" i="14"/>
  <c r="I27" i="14" s="1"/>
  <c r="I63" i="14" s="1"/>
  <c r="R20" i="14"/>
  <c r="R22" i="14" s="1"/>
  <c r="H27" i="48"/>
  <c r="H33" i="48" s="1"/>
  <c r="H15" i="48"/>
  <c r="O13" i="14"/>
  <c r="N8" i="48"/>
  <c r="N26" i="48" s="1"/>
  <c r="F8" i="48"/>
  <c r="G13" i="14"/>
  <c r="J26" i="48" l="1"/>
  <c r="J33" i="48" s="1"/>
  <c r="J15" i="48"/>
  <c r="K63" i="14"/>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<sst xmlns="http://schemas.openxmlformats.org/spreadsheetml/2006/main" count="2443" uniqueCount="919">
  <si>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</si>
  <si>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</si>
  <si>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</si>
  <si>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</si>
  <si>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</si>
  <si>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</si>
  <si>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</si>
  <si>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</si>
  <si>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</si>
  <si>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</si>
  <si>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</si>
  <si>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</si>
  <si>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</si>
  <si>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</si>
  <si>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</si>
  <si>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</si>
  <si>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</si>
  <si>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</si>
  <si>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</si>
  <si>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</si>
  <si>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</si>
  <si>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</si>
  <si>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</si>
  <si>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</si>
  <si>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</si>
  <si>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</si>
  <si>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</si>
  <si>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</si>
  <si>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</si>
  <si>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</si>
  <si>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</si>
  <si>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</si>
  <si>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</si>
  <si>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</si>
  <si>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</si>
  <si>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</si>
  <si>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</si>
  <si>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</si>
  <si>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</si>
  <si>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</si>
  <si>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</si>
  <si>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</si>
  <si>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</si>
  <si>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</si>
  <si>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</si>
  <si>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</si>
  <si>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</si>
  <si>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</si>
  <si>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</si>
  <si>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</si>
  <si>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</si>
  <si>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</si>
  <si>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</si>
  <si>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</si>
  <si>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</si>
  <si>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</si>
  <si>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</si>
  <si>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</si>
  <si>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</si>
  <si>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</si>
  <si>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</si>
  <si>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</si>
  <si>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</si>
  <si>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</si>
  <si>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</si>
  <si>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</si>
  <si>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</si>
  <si>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</si>
  <si>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</si>
  <si>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</si>
  <si>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</si>
  <si>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</si>
  <si>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</si>
  <si>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</si>
  <si>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</si>
  <si>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</si>
  <si>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</si>
  <si>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</si>
  <si>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</si>
  <si>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</si>
  <si>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</si>
  <si>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</si>
  <si>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</si>
  <si>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</si>
  <si>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</si>
  <si>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</si>
  <si>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</si>
  <si>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</si>
  <si>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</si>
  <si>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</si>
  <si>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</si>
  <si>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</si>
  <si>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</si>
  <si>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</si>
  <si>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</si>
  <si>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</si>
  <si>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</si>
  <si>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</si>
  <si>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</si>
  <si>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</si>
  <si>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</si>
  <si>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</si>
  <si>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</si>
  <si>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</si>
  <si>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</si>
  <si>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</si>
  <si>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</si>
  <si>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</si>
  <si>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</si>
  <si>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</si>
  <si>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</si>
  <si>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</si>
  <si>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</si>
  <si>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</si>
  <si>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</si>
  <si>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</si>
  <si>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</si>
  <si>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</si>
  <si>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</si>
  <si>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</si>
  <si>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</si>
  <si>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</si>
  <si>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</si>
  <si>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</si>
  <si>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</si>
  <si>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</si>
  <si>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</si>
  <si>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</si>
  <si>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</si>
  <si>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</si>
  <si>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</si>
  <si>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</si>
  <si>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</si>
  <si>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</si>
  <si>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</si>
  <si>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</si>
  <si>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</si>
  <si>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</si>
  <si>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</si>
  <si>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</si>
  <si>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</si>
  <si>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</si>
  <si>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</si>
  <si>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</si>
  <si>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</si>
  <si>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</si>
  <si>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</si>
  <si>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</si>
  <si>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</si>
  <si>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</si>
  <si>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</si>
  <si>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</si>
  <si>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</si>
  <si>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</si>
  <si>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</si>
  <si>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</si>
  <si>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</si>
  <si>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</si>
  <si>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</si>
  <si>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</si>
  <si>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</si>
  <si>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</si>
  <si>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</si>
  <si>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</si>
  <si>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</si>
  <si>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</si>
  <si>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</si>
  <si>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</si>
  <si>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</si>
  <si>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</si>
  <si>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</si>
  <si>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</si>
  <si>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</si>
  <si>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</si>
  <si>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</si>
  <si>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</si>
  <si>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</si>
  <si>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</si>
  <si>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</si>
  <si>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</si>
  <si>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</si>
  <si>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</si>
  <si>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</si>
  <si>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</si>
  <si>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</si>
  <si>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</si>
  <si>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</si>
  <si>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</si>
  <si>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</si>
  <si>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</si>
  <si>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</si>
  <si>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</si>
  <si>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</si>
  <si>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</si>
  <si>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</si>
  <si>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</si>
  <si>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</si>
  <si>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</si>
  <si>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</si>
  <si>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</si>
  <si>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</si>
  <si>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</si>
  <si>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</si>
  <si>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</si>
  <si>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</si>
  <si>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</si>
  <si>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</si>
  <si>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</si>
  <si>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</si>
  <si>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</si>
  <si>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</si>
  <si>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</si>
  <si>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</si>
  <si>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</si>
  <si>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</si>
  <si>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</si>
  <si>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</si>
  <si>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</si>
  <si>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</si>
  <si>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</si>
  <si>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</si>
  <si>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</si>
  <si>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</si>
  <si>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</si>
  <si>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</si>
  <si>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</si>
  <si>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</si>
  <si>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</si>
  <si>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</si>
  <si>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</si>
  <si>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</si>
  <si>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</si>
  <si>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</si>
  <si>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</si>
  <si>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</si>
  <si>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</si>
  <si>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</si>
  <si>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</si>
  <si>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</si>
  <si>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</si>
  <si>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</si>
  <si>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</si>
  <si>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</si>
  <si>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</si>
  <si>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</si>
  <si>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</si>
  <si>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</si>
  <si>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</si>
  <si>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</si>
  <si>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</si>
  <si>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</si>
  <si>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</si>
  <si>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</si>
  <si>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</si>
  <si>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</si>
  <si>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</si>
  <si>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</si>
  <si>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</si>
  <si>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</si>
  <si>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</si>
  <si>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</si>
  <si>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</si>
  <si>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</si>
  <si>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</si>
  <si>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</si>
  <si>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</si>
  <si>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</si>
  <si>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</si>
  <si>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</si>
  <si>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</si>
  <si>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</si>
  <si>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</si>
  <si>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</si>
  <si>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</si>
  <si>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</si>
  <si>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</si>
  <si>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</si>
  <si>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</si>
  <si>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</si>
  <si>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</si>
  <si>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</si>
  <si>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</si>
  <si>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</si>
  <si>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</si>
  <si>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</si>
  <si>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</si>
  <si>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</si>
  <si>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</si>
  <si>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</si>
  <si>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</si>
  <si>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</si>
  <si>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</si>
  <si>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</si>
  <si>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</si>
  <si>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</si>
  <si>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</si>
  <si>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</si>
  <si>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</si>
  <si>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</si>
  <si>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</si>
  <si>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</si>
  <si>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</si>
  <si>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</si>
  <si>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</si>
  <si>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</si>
  <si>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</si>
  <si>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</si>
  <si>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</si>
  <si>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</si>
  <si>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</si>
  <si>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</si>
  <si>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</si>
  <si>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</si>
  <si>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</si>
  <si>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</si>
  <si>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</si>
  <si>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</si>
  <si>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</si>
  <si>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</si>
  <si>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</si>
  <si>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</si>
  <si>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</si>
  <si>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</si>
  <si>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</si>
  <si>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</si>
  <si>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</si>
  <si>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</si>
  <si>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</si>
  <si>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</si>
  <si>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</si>
  <si>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</si>
  <si>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</si>
  <si>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</si>
  <si>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</si>
  <si>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</si>
  <si>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</si>
  <si>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</si>
  <si>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</si>
  <si>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</si>
  <si>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</si>
  <si>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</si>
  <si>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</si>
  <si>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</si>
  <si>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</si>
  <si>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</si>
  <si>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</si>
  <si>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</si>
  <si>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</si>
  <si>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</si>
  <si>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</si>
  <si>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</si>
  <si>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</si>
  <si>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</si>
  <si>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</si>
  <si>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</si>
  <si>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</si>
  <si>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</si>
  <si>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</si>
  <si>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</si>
  <si>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</si>
  <si>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</si>
  <si>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</si>
  <si>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</si>
  <si>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</si>
  <si>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</si>
  <si>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</si>
  <si>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</si>
  <si>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</si>
  <si>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</si>
  <si>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</si>
  <si>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</si>
  <si>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</si>
  <si>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</si>
  <si>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</si>
  <si>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</si>
  <si>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</si>
  <si>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</si>
  <si>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</si>
  <si>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</si>
  <si>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</si>
  <si>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</si>
  <si>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</si>
  <si>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</si>
  <si>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</si>
  <si>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</si>
  <si>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</si>
  <si>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</si>
  <si>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</si>
  <si>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</si>
  <si>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</si>
  <si>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</si>
  <si>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</si>
  <si>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</si>
  <si>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</si>
  <si>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</si>
  <si>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</si>
  <si>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</si>
  <si>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</si>
  <si>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</si>
  <si>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</si>
  <si>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</si>
  <si>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</si>
  <si>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</si>
  <si>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</si>
  <si>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</si>
  <si>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</si>
  <si>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</si>
  <si>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</si>
  <si>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</si>
  <si>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</si>
  <si>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</si>
  <si>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</si>
  <si>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</si>
  <si>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</si>
  <si>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</si>
  <si>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</si>
  <si>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</si>
  <si>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</si>
  <si>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</si>
  <si>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</si>
  <si>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</si>
  <si>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</si>
  <si>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</si>
  <si>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</si>
  <si>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</si>
  <si>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</si>
  <si>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</si>
  <si>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</si>
  <si>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</si>
  <si>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</si>
  <si>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</si>
  <si>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</si>
  <si>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</si>
  <si>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</si>
  <si>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</si>
  <si>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</si>
  <si>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</si>
  <si>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</si>
  <si>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</si>
  <si>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</si>
  <si>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</si>
  <si>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</si>
  <si>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</si>
  <si>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</si>
  <si>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</si>
  <si>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</si>
  <si>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</si>
  <si>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</si>
  <si>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</si>
  <si>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</si>
  <si>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</si>
  <si>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</si>
  <si>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</si>
  <si>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</si>
  <si>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</si>
  <si>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</si>
  <si>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</si>
  <si>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</si>
  <si>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</si>
  <si>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</si>
  <si>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</si>
  <si>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</si>
  <si>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</si>
  <si>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</si>
  <si>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</si>
  <si>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</si>
  <si>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</si>
  <si>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</si>
  <si>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</si>
  <si>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</si>
  <si>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</si>
  <si>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</si>
  <si>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</si>
  <si>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</si>
  <si>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</si>
  <si>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</si>
  <si>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</si>
  <si>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</si>
  <si>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</si>
  <si>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</si>
  <si>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</si>
  <si>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</si>
  <si>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</si>
  <si>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</si>
  <si>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</si>
  <si>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</si>
  <si>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</si>
  <si>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</si>
  <si>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</si>
  <si>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</si>
  <si>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</si>
  <si>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</si>
  <si>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</si>
  <si>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</si>
  <si>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</si>
  <si>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</si>
  <si>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</si>
  <si>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</si>
  <si>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</si>
  <si>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</si>
  <si>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</si>
  <si>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</si>
  <si>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</si>
  <si>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</si>
  <si>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</si>
  <si>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</si>
  <si>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</si>
  <si>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</si>
  <si>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</si>
  <si>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</si>
  <si>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</si>
  <si>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</si>
  <si>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</si>
  <si>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</si>
  <si>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</si>
  <si>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</si>
  <si>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</si>
  <si>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</si>
  <si>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</si>
  <si>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</si>
  <si>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</si>
  <si>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</si>
  <si>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</si>
  <si>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</si>
  <si>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</si>
  <si>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</si>
  <si>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</si>
  <si>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</si>
  <si>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</si>
  <si>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</si>
  <si>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</si>
  <si>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</si>
  <si>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</si>
  <si>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</si>
  <si>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</si>
  <si>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</si>
  <si>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</si>
  <si>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</si>
  <si>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</si>
  <si>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</si>
  <si>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</si>
  <si>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</si>
  <si>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</si>
  <si>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</si>
  <si>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</si>
  <si>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</si>
  <si>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</si>
  <si>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</si>
  <si>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</si>
  <si>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</si>
  <si>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</si>
  <si>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</si>
  <si>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</si>
  <si>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</si>
  <si>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</si>
  <si>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</si>
  <si>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</si>
  <si>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</si>
  <si>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</si>
  <si>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</si>
  <si>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</si>
  <si>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</si>
  <si>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</si>
  <si>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</si>
  <si>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</si>
  <si>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</si>
  <si>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</si>
  <si>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</si>
  <si>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</si>
  <si>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</si>
  <si>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</si>
  <si>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</si>
  <si>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</si>
  <si>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</si>
  <si>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</si>
  <si>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</si>
  <si>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</si>
  <si>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</si>
  <si>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</si>
  <si>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</si>
  <si>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</si>
  <si>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</si>
  <si>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</si>
  <si>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</si>
  <si>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</si>
  <si>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</si>
  <si>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</si>
  <si>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</si>
  <si>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</si>
  <si>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</si>
  <si>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</si>
  <si>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</si>
  <si>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</si>
  <si>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</si>
  <si>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</si>
  <si>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</si>
  <si>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</si>
  <si>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</si>
  <si>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</si>
  <si>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</si>
  <si>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</si>
  <si>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</si>
  <si>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</si>
  <si>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</si>
  <si>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</si>
  <si>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</si>
  <si>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</si>
  <si>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</si>
  <si>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</si>
  <si>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</si>
  <si>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</si>
  <si>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</si>
  <si>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</si>
  <si>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</si>
  <si>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</si>
  <si>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</si>
  <si>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</si>
  <si>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</si>
  <si>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</si>
  <si>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</si>
  <si>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</si>
  <si>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</si>
  <si>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</si>
  <si>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</si>
  <si>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</si>
  <si>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</si>
  <si>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</si>
  <si>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</si>
  <si>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</si>
  <si>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</si>
  <si>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</si>
  <si>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</si>
  <si>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</si>
  <si>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</si>
  <si>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</si>
  <si>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</si>
  <si>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</si>
  <si>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</si>
  <si>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</si>
  <si>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</si>
  <si>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</si>
  <si>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</si>
  <si>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</si>
  <si>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</si>
  <si>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</si>
  <si>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</si>
  <si>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</si>
  <si>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</si>
  <si>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</si>
  <si>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</si>
  <si>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</si>
  <si>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</si>
  <si>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</si>
  <si>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</si>
  <si>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</si>
  <si>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</si>
  <si>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</si>
  <si>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</si>
  <si>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</si>
  <si>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</si>
  <si>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</si>
  <si>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</si>
  <si>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</si>
  <si>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</si>
  <si>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</si>
  <si>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</si>
  <si>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</si>
  <si>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</si>
  <si>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</si>
  <si>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</si>
  <si>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</si>
  <si>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</si>
  <si>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</si>
  <si>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</si>
  <si>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</si>
  <si>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</si>
  <si>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</si>
  <si>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</si>
  <si>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</si>
  <si>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</si>
  <si>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</si>
  <si>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</si>
  <si>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</si>
  <si>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</si>
  <si>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</si>
  <si>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</si>
  <si>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</si>
  <si>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</si>
  <si>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</si>
  <si>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</si>
  <si>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</si>
  <si>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</si>
  <si>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</si>
  <si>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</si>
  <si>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</si>
  <si>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</si>
  <si>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</si>
  <si>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</si>
  <si>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</si>
  <si>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</si>
  <si>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</si>
  <si>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</si>
  <si>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</si>
  <si>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</si>
  <si>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</si>
  <si>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</si>
  <si>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</si>
  <si>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</si>
  <si>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</si>
  <si>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</si>
  <si>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</si>
  <si>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</si>
  <si>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</si>
  <si>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</si>
  <si>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</si>
  <si>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</si>
  <si>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</si>
  <si>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</si>
  <si>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</si>
  <si>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</si>
  <si>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</si>
  <si>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</si>
  <si>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</si>
  <si>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</si>
  <si>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</si>
  <si>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</si>
  <si>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</si>
  <si>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</si>
  <si>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</si>
  <si>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</si>
  <si>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</si>
  <si>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</si>
  <si>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</si>
  <si>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</si>
  <si>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</si>
  <si>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</si>
  <si>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</si>
  <si>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</si>
  <si>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</si>
  <si>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</si>
  <si>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</si>
  <si>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</si>
  <si>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</si>
  <si>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</si>
  <si>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</si>
  <si>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</si>
  <si>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</si>
  <si>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</si>
  <si>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</si>
  <si>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</si>
  <si>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</si>
  <si>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</si>
  <si>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</si>
  <si>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</si>
  <si>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</si>
  <si>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</si>
  <si>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</si>
  <si>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</si>
  <si>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</si>
  <si>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</si>
  <si>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</si>
  <si>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</si>
  <si>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</si>
  <si>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</si>
  <si>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</si>
  <si>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</si>
  <si>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</si>
  <si>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</si>
  <si>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</si>
  <si>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</si>
  <si>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</si>
  <si>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</si>
  <si>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</si>
  <si>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</si>
  <si>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</si>
  <si>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</si>
  <si>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</si>
  <si>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</si>
  <si>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</si>
  <si>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</si>
  <si>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</si>
  <si>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</si>
  <si>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</si>
  <si>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</si>
  <si>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</si>
  <si>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</si>
  <si>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</si>
  <si>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</si>
  <si>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</si>
  <si>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</si>
  <si>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</si>
  <si>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</si>
  <si>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</si>
  <si>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</si>
  <si>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</si>
  <si>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</si>
  <si>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</si>
  <si>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</si>
  <si>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</si>
  <si>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</si>
  <si>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</si>
  <si>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</si>
  <si>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</si>
  <si>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</si>
  <si>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</si>
  <si>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</si>
  <si>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</si>
  <si>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</si>
  <si>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</si>
  <si>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</si>
  <si>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</si>
  <si>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</si>
  <si>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</si>
  <si>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</si>
  <si>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</si>
  <si>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</si>
  <si>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</si>
  <si>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</si>
  <si>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</si>
  <si>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</si>
  <si>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</si>
  <si>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</si>
  <si>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</si>
  <si>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</si>
  <si>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</si>
  <si>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</si>
  <si>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</si>
  <si>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</si>
  <si>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</si>
  <si>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</si>
  <si>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</si>
  <si>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</si>
  <si>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</si>
  <si>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</si>
  <si>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</si>
  <si>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</si>
  <si>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</si>
  <si>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</si>
  <si>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</si>
  <si>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</si>
  <si>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</si>
  <si>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</si>
  <si>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</si>
  <si>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</si>
  <si>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</si>
  <si>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</si>
  <si>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</si>
  <si>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</si>
  <si>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</si>
  <si>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</si>
  <si>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</si>
  <si>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</si>
  <si>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</si>
  <si>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</si>
  <si>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</si>
  <si>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</si>
  <si>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</si>
  <si>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</si>
  <si>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</si>
  <si>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</si>
  <si>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</si>
  <si>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</si>
  <si>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</si>
  <si>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</si>
  <si>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</si>
  <si>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</si>
  <si>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</si>
  <si>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</si>
  <si>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</si>
  <si>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</si>
  <si>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</si>
  <si>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</si>
  <si>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</si>
  <si>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</si>
  <si>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</si>
  <si>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</si>
  <si>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</si>
  <si>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</si>
  <si>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</si>
  <si>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</si>
  <si>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</si>
  <si>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</si>
  <si>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</si>
  <si>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</si>
  <si>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</si>
  <si>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</si>
  <si>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</si>
  <si>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</si>
  <si>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</si>
  <si>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</si>
  <si>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</si>
  <si>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</si>
  <si>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</si>
  <si>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</si>
  <si>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</si>
  <si>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</si>
  <si>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</si>
  <si>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</si>
  <si>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</si>
  <si>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</si>
  <si>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</si>
  <si>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</si>
  <si>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</si>
  <si>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</si>
  <si>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</si>
  <si>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</si>
  <si>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</si>
  <si>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33041</t>
  </si>
  <si>
    <t>VLETEREN</t>
  </si>
  <si>
    <t>Paarden&amp;pony's 200 - 600 kg</t>
  </si>
  <si>
    <t>Paarden&amp;pony's &lt; 200 kg</t>
  </si>
  <si>
    <t>Fluvius</t>
  </si>
  <si>
    <t>referentietaak LNE (2017); Jaarverslag De Lijn</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</si>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</sst>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41052.044536647983</c:v>
                </c:pt>
                <c:pt idx="1">
                  <c:v>6355.9249070832739</c:v>
                </c:pt>
                <c:pt idx="2">
                  <c:v>256.363</c:v>
                </c:pt>
                <c:pt idx="3">
                  <c:v>21654.42556741718</c:v>
                </c:pt>
                <c:pt idx="4">
                  <c:v>3488.2886519867866</c:v>
                </c:pt>
                <c:pt idx="5">
                  <c:v>31378.0733442487</c:v>
                </c:pt>
                <c:pt idx="6">
                  <c:v>201.38029758442892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41052.044536647983</c:v>
                </c:pt>
                <c:pt idx="1">
                  <c:v>6355.9249070832739</c:v>
                </c:pt>
                <c:pt idx="2">
                  <c:v>256.363</c:v>
                </c:pt>
                <c:pt idx="3">
                  <c:v>21654.42556741718</c:v>
                </c:pt>
                <c:pt idx="4">
                  <c:v>3488.2886519867866</c:v>
                </c:pt>
                <c:pt idx="5">
                  <c:v>31378.0733442487</c:v>
                </c:pt>
                <c:pt idx="6">
                  <c:v>201.38029758442892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7407.8270572669853</c:v>
                </c:pt>
                <c:pt idx="2">
                  <c:v>841.13625893653273</c:v>
                </c:pt>
                <c:pt idx="3">
                  <c:v>17.249999191393716</c:v>
                </c:pt>
                <c:pt idx="4">
                  <c:v>2368.7809972798932</c:v>
                </c:pt>
                <c:pt idx="5">
                  <c:v>605.70083758348278</c:v>
                </c:pt>
                <c:pt idx="6">
                  <c:v>7863.0931122268403</c:v>
                </c:pt>
                <c:pt idx="7">
                  <c:v>50.861453576043395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7407.8270572669853</c:v>
                </c:pt>
                <c:pt idx="2">
                  <c:v>841.13625893653273</c:v>
                </c:pt>
                <c:pt idx="3">
                  <c:v>17.249999191393716</c:v>
                </c:pt>
                <c:pt idx="4">
                  <c:v>2368.7809972798932</c:v>
                </c:pt>
                <c:pt idx="5">
                  <c:v>605.70083758348278</c:v>
                </c:pt>
                <c:pt idx="6">
                  <c:v>7863.0931122268403</c:v>
                </c:pt>
                <c:pt idx="7">
                  <c:v>50.861453576043395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33041</v>
      </c>
      <c r="B6" s="391"/>
      <c r="C6" s="392"/>
    </row>
    <row r="7" spans="1:7" s="389" customFormat="1" ht="15.75" customHeight="1">
      <c r="A7" s="393" t="str">
        <f>txtMunicipality</f>
        <v>VLETEREN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3239.54259</v>
      </c>
      <c r="D10" s="991">
        <f ca="1">tertiair!C16</f>
        <v>0</v>
      </c>
      <c r="E10" s="991">
        <f ca="1">tertiair!D16</f>
        <v>2479.8359468588496</v>
      </c>
      <c r="F10" s="991">
        <f>tertiair!E16</f>
        <v>41.279756855376888</v>
      </c>
      <c r="G10" s="991">
        <f ca="1">tertiair!F16</f>
        <v>487.29775559552775</v>
      </c>
      <c r="H10" s="991">
        <f>tertiair!G16</f>
        <v>0</v>
      </c>
      <c r="I10" s="991">
        <f>tertiair!H16</f>
        <v>0</v>
      </c>
      <c r="J10" s="991">
        <f>tertiair!I16</f>
        <v>0</v>
      </c>
      <c r="K10" s="991">
        <f>tertiair!J16</f>
        <v>0</v>
      </c>
      <c r="L10" s="991">
        <f>tertiair!K16</f>
        <v>0</v>
      </c>
      <c r="M10" s="991">
        <f ca="1">tertiair!L16</f>
        <v>0</v>
      </c>
      <c r="N10" s="991">
        <f>tertiair!M16</f>
        <v>0</v>
      </c>
      <c r="O10" s="991">
        <f ca="1">tertiair!N16</f>
        <v>343.70185777351958</v>
      </c>
      <c r="P10" s="991">
        <f>tertiair!O16</f>
        <v>1.5633333333333335</v>
      </c>
      <c r="Q10" s="992">
        <f>tertiair!P16</f>
        <v>19.066666666666666</v>
      </c>
      <c r="R10" s="675">
        <f ca="1">SUM(C10:Q10)</f>
        <v>6612.2879070832741</v>
      </c>
      <c r="S10" s="67"/>
    </row>
    <row r="11" spans="1:19" s="448" customFormat="1">
      <c r="A11" s="784" t="s">
        <v>224</v>
      </c>
      <c r="B11" s="789"/>
      <c r="C11" s="991">
        <f>huishoudens!B8</f>
        <v>6467.8944450707068</v>
      </c>
      <c r="D11" s="991">
        <f>huishoudens!C8</f>
        <v>0</v>
      </c>
      <c r="E11" s="991">
        <f>huishoudens!D8</f>
        <v>7708.1367891256677</v>
      </c>
      <c r="F11" s="991">
        <f>huishoudens!E8</f>
        <v>10584.584122747448</v>
      </c>
      <c r="G11" s="991">
        <f>huishoudens!F8</f>
        <v>7694.6817534720358</v>
      </c>
      <c r="H11" s="991">
        <f>huishoudens!G8</f>
        <v>0</v>
      </c>
      <c r="I11" s="991">
        <f>huishoudens!H8</f>
        <v>0</v>
      </c>
      <c r="J11" s="991">
        <f>huishoudens!I8</f>
        <v>0</v>
      </c>
      <c r="K11" s="991">
        <f>huishoudens!J8</f>
        <v>2707.3305498093423</v>
      </c>
      <c r="L11" s="991">
        <f>huishoudens!K8</f>
        <v>0</v>
      </c>
      <c r="M11" s="991">
        <f>huishoudens!L8</f>
        <v>0</v>
      </c>
      <c r="N11" s="991">
        <f>huishoudens!M8</f>
        <v>0</v>
      </c>
      <c r="O11" s="991">
        <f>huishoudens!N8</f>
        <v>5609.6402097561158</v>
      </c>
      <c r="P11" s="991">
        <f>huishoudens!O8</f>
        <v>89.11</v>
      </c>
      <c r="Q11" s="992">
        <f>huishoudens!P8</f>
        <v>190.66666666666669</v>
      </c>
      <c r="R11" s="675">
        <f>SUM(C11:Q11)</f>
        <v>41052.044536647983</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864.99389999999994</v>
      </c>
      <c r="D13" s="991">
        <f>industrie!C18</f>
        <v>0</v>
      </c>
      <c r="E13" s="991">
        <f>industrie!D18</f>
        <v>1061.1033788926629</v>
      </c>
      <c r="F13" s="991">
        <f>industrie!E18</f>
        <v>50.398068124922276</v>
      </c>
      <c r="G13" s="991">
        <f>industrie!F18</f>
        <v>1186.3793211916698</v>
      </c>
      <c r="H13" s="991">
        <f>industrie!G18</f>
        <v>0</v>
      </c>
      <c r="I13" s="991">
        <f>industrie!H18</f>
        <v>0</v>
      </c>
      <c r="J13" s="991">
        <f>industrie!I18</f>
        <v>0</v>
      </c>
      <c r="K13" s="991">
        <f>industrie!J18</f>
        <v>13.986231870792384</v>
      </c>
      <c r="L13" s="991">
        <f>industrie!K18</f>
        <v>0</v>
      </c>
      <c r="M13" s="991">
        <f>industrie!L18</f>
        <v>0</v>
      </c>
      <c r="N13" s="991">
        <f>industrie!M18</f>
        <v>0</v>
      </c>
      <c r="O13" s="991">
        <f>industrie!N18</f>
        <v>311.4277519067391</v>
      </c>
      <c r="P13" s="991">
        <f>industrie!O18</f>
        <v>0</v>
      </c>
      <c r="Q13" s="992">
        <f>industrie!P18</f>
        <v>0</v>
      </c>
      <c r="R13" s="675">
        <f>SUM(C13:Q13)</f>
        <v>3488.2886519867866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10572.430935070706</v>
      </c>
      <c r="D16" s="707">
        <f t="shared" ref="D16:R16" ca="1" si="0">SUM(D9:D15)</f>
        <v>0</v>
      </c>
      <c r="E16" s="707">
        <f t="shared" ca="1" si="0"/>
        <v>11249.07611487718</v>
      </c>
      <c r="F16" s="707">
        <f t="shared" si="0"/>
        <v>10676.261947727748</v>
      </c>
      <c r="G16" s="707">
        <f t="shared" ca="1" si="0"/>
        <v>9368.3588302592325</v>
      </c>
      <c r="H16" s="707">
        <f t="shared" si="0"/>
        <v>0</v>
      </c>
      <c r="I16" s="707">
        <f t="shared" si="0"/>
        <v>0</v>
      </c>
      <c r="J16" s="707">
        <f t="shared" si="0"/>
        <v>0</v>
      </c>
      <c r="K16" s="707">
        <f t="shared" si="0"/>
        <v>2721.3167816801347</v>
      </c>
      <c r="L16" s="707">
        <f t="shared" si="0"/>
        <v>0</v>
      </c>
      <c r="M16" s="707">
        <f t="shared" ca="1" si="0"/>
        <v>0</v>
      </c>
      <c r="N16" s="707">
        <f t="shared" si="0"/>
        <v>0</v>
      </c>
      <c r="O16" s="707">
        <f t="shared" ca="1" si="0"/>
        <v>6264.7698194363747</v>
      </c>
      <c r="P16" s="707">
        <f t="shared" si="0"/>
        <v>90.673333333333332</v>
      </c>
      <c r="Q16" s="707">
        <f t="shared" si="0"/>
        <v>209.73333333333335</v>
      </c>
      <c r="R16" s="707">
        <f t="shared" ca="1" si="0"/>
        <v>51152.621095718045</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190.49233549079923</v>
      </c>
      <c r="I19" s="991">
        <f>transport!H54</f>
        <v>0</v>
      </c>
      <c r="J19" s="991">
        <f>transport!I54</f>
        <v>0</v>
      </c>
      <c r="K19" s="991">
        <f>transport!J54</f>
        <v>0</v>
      </c>
      <c r="L19" s="991">
        <f>transport!K54</f>
        <v>0</v>
      </c>
      <c r="M19" s="991">
        <f>transport!L54</f>
        <v>0</v>
      </c>
      <c r="N19" s="991">
        <f>transport!M54</f>
        <v>10.887962093629692</v>
      </c>
      <c r="O19" s="991">
        <f>transport!N54</f>
        <v>0</v>
      </c>
      <c r="P19" s="991">
        <f>transport!O54</f>
        <v>0</v>
      </c>
      <c r="Q19" s="992">
        <f>transport!P54</f>
        <v>0</v>
      </c>
      <c r="R19" s="675">
        <f>SUM(C19:Q19)</f>
        <v>201.38029758442892</v>
      </c>
      <c r="S19" s="67"/>
    </row>
    <row r="20" spans="1:19" s="448" customFormat="1">
      <c r="A20" s="784" t="s">
        <v>306</v>
      </c>
      <c r="B20" s="789"/>
      <c r="C20" s="991">
        <f>transport!B14</f>
        <v>4.2181977946082228</v>
      </c>
      <c r="D20" s="991">
        <f>transport!C14</f>
        <v>0</v>
      </c>
      <c r="E20" s="991">
        <f>transport!D14</f>
        <v>7.8076323412512263</v>
      </c>
      <c r="F20" s="991">
        <f>transport!E14</f>
        <v>75.062541139138474</v>
      </c>
      <c r="G20" s="991">
        <f>transport!F14</f>
        <v>0</v>
      </c>
      <c r="H20" s="991">
        <f>transport!G14</f>
        <v>24940.996261863016</v>
      </c>
      <c r="I20" s="991">
        <f>transport!H14</f>
        <v>4758.823052949444</v>
      </c>
      <c r="J20" s="991">
        <f>transport!I14</f>
        <v>0</v>
      </c>
      <c r="K20" s="991">
        <f>transport!J14</f>
        <v>0</v>
      </c>
      <c r="L20" s="991">
        <f>transport!K14</f>
        <v>0</v>
      </c>
      <c r="M20" s="991">
        <f>transport!L14</f>
        <v>0</v>
      </c>
      <c r="N20" s="991">
        <f>transport!M14</f>
        <v>1591.1656581612451</v>
      </c>
      <c r="O20" s="991">
        <f>transport!N14</f>
        <v>0</v>
      </c>
      <c r="P20" s="991">
        <f>transport!O14</f>
        <v>0</v>
      </c>
      <c r="Q20" s="992">
        <f>transport!P14</f>
        <v>0</v>
      </c>
      <c r="R20" s="675">
        <f>SUM(C20:Q20)</f>
        <v>31378.0733442487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4.2181977946082228</v>
      </c>
      <c r="D22" s="787">
        <f t="shared" ref="D22:R22" si="1">SUM(D18:D21)</f>
        <v>0</v>
      </c>
      <c r="E22" s="787">
        <f t="shared" si="1"/>
        <v>7.8076323412512263</v>
      </c>
      <c r="F22" s="787">
        <f t="shared" si="1"/>
        <v>75.062541139138474</v>
      </c>
      <c r="G22" s="787">
        <f t="shared" si="1"/>
        <v>0</v>
      </c>
      <c r="H22" s="787">
        <f t="shared" si="1"/>
        <v>25131.488597353815</v>
      </c>
      <c r="I22" s="787">
        <f t="shared" si="1"/>
        <v>4758.823052949444</v>
      </c>
      <c r="J22" s="787">
        <f t="shared" si="1"/>
        <v>0</v>
      </c>
      <c r="K22" s="787">
        <f t="shared" si="1"/>
        <v>0</v>
      </c>
      <c r="L22" s="787">
        <f t="shared" si="1"/>
        <v>0</v>
      </c>
      <c r="M22" s="787">
        <f t="shared" si="1"/>
        <v>0</v>
      </c>
      <c r="N22" s="787">
        <f t="shared" si="1"/>
        <v>1602.0536202548749</v>
      </c>
      <c r="O22" s="787">
        <f t="shared" si="1"/>
        <v>0</v>
      </c>
      <c r="P22" s="787">
        <f t="shared" si="1"/>
        <v>0</v>
      </c>
      <c r="Q22" s="787">
        <f t="shared" si="1"/>
        <v>0</v>
      </c>
      <c r="R22" s="787">
        <f t="shared" si="1"/>
        <v>31579.45364183313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2940.2325900000001</v>
      </c>
      <c r="D24" s="991">
        <f>+landbouw!C8</f>
        <v>10710</v>
      </c>
      <c r="E24" s="991">
        <f>+landbouw!D8</f>
        <v>66.258647983922899</v>
      </c>
      <c r="F24" s="991">
        <f>+landbouw!E8</f>
        <v>27.233665731188935</v>
      </c>
      <c r="G24" s="991">
        <f>+landbouw!F8</f>
        <v>7459.9301945635943</v>
      </c>
      <c r="H24" s="991">
        <f>+landbouw!G8</f>
        <v>0</v>
      </c>
      <c r="I24" s="991">
        <f>+landbouw!H8</f>
        <v>0</v>
      </c>
      <c r="J24" s="991">
        <f>+landbouw!I8</f>
        <v>0</v>
      </c>
      <c r="K24" s="991">
        <f>+landbouw!J8</f>
        <v>450.77046913847249</v>
      </c>
      <c r="L24" s="991">
        <f>+landbouw!K8</f>
        <v>0</v>
      </c>
      <c r="M24" s="991">
        <f>+landbouw!L8</f>
        <v>0</v>
      </c>
      <c r="N24" s="991">
        <f>+landbouw!M8</f>
        <v>0</v>
      </c>
      <c r="O24" s="991">
        <f>+landbouw!N8</f>
        <v>0</v>
      </c>
      <c r="P24" s="991">
        <f>+landbouw!O8</f>
        <v>0</v>
      </c>
      <c r="Q24" s="992">
        <f>+landbouw!P8</f>
        <v>0</v>
      </c>
      <c r="R24" s="675">
        <f>SUM(C24:Q24)</f>
        <v>21654.42556741718</v>
      </c>
      <c r="S24" s="67"/>
    </row>
    <row r="25" spans="1:19" s="448" customFormat="1" ht="15" thickBot="1">
      <c r="A25" s="806" t="s">
        <v>849</v>
      </c>
      <c r="B25" s="994"/>
      <c r="C25" s="995">
        <f>IF(Onbekend_ele_kWh="---",0,Onbekend_ele_kWh)/1000+IF(REST_rest_ele_kWh="---",0,REST_rest_ele_kWh)/1000</f>
        <v>389.36290000000002</v>
      </c>
      <c r="D25" s="995"/>
      <c r="E25" s="995">
        <f>IF(onbekend_gas_kWh="---",0,onbekend_gas_kWh)/1000+IF(REST_rest_gas_kWh="---",0,REST_rest_gas_kWh)/1000</f>
        <v>143.39941229817899</v>
      </c>
      <c r="F25" s="995"/>
      <c r="G25" s="995"/>
      <c r="H25" s="995"/>
      <c r="I25" s="995"/>
      <c r="J25" s="995"/>
      <c r="K25" s="995"/>
      <c r="L25" s="995"/>
      <c r="M25" s="995"/>
      <c r="N25" s="995"/>
      <c r="O25" s="995"/>
      <c r="P25" s="995"/>
      <c r="Q25" s="996"/>
      <c r="R25" s="675">
        <f>SUM(C25:Q25)</f>
        <v>532.76231229817904</v>
      </c>
      <c r="S25" s="67"/>
    </row>
    <row r="26" spans="1:19" s="448" customFormat="1" ht="15.75" thickBot="1">
      <c r="A26" s="680" t="s">
        <v>850</v>
      </c>
      <c r="B26" s="792"/>
      <c r="C26" s="787">
        <f>SUM(C24:C25)</f>
        <v>3329.5954900000002</v>
      </c>
      <c r="D26" s="787">
        <f t="shared" ref="D26:R26" si="2">SUM(D24:D25)</f>
        <v>10710</v>
      </c>
      <c r="E26" s="787">
        <f t="shared" si="2"/>
        <v>209.65806028210187</v>
      </c>
      <c r="F26" s="787">
        <f t="shared" si="2"/>
        <v>27.233665731188935</v>
      </c>
      <c r="G26" s="787">
        <f t="shared" si="2"/>
        <v>7459.9301945635943</v>
      </c>
      <c r="H26" s="787">
        <f t="shared" si="2"/>
        <v>0</v>
      </c>
      <c r="I26" s="787">
        <f t="shared" si="2"/>
        <v>0</v>
      </c>
      <c r="J26" s="787">
        <f t="shared" si="2"/>
        <v>0</v>
      </c>
      <c r="K26" s="787">
        <f t="shared" si="2"/>
        <v>450.77046913847249</v>
      </c>
      <c r="L26" s="787">
        <f t="shared" si="2"/>
        <v>0</v>
      </c>
      <c r="M26" s="787">
        <f t="shared" si="2"/>
        <v>0</v>
      </c>
      <c r="N26" s="787">
        <f t="shared" si="2"/>
        <v>0</v>
      </c>
      <c r="O26" s="787">
        <f t="shared" si="2"/>
        <v>0</v>
      </c>
      <c r="P26" s="787">
        <f t="shared" si="2"/>
        <v>0</v>
      </c>
      <c r="Q26" s="787">
        <f t="shared" si="2"/>
        <v>0</v>
      </c>
      <c r="R26" s="787">
        <f t="shared" si="2"/>
        <v>22187.187879715359</v>
      </c>
      <c r="S26" s="67"/>
    </row>
    <row r="27" spans="1:19" s="448" customFormat="1" ht="17.25" thickTop="1" thickBot="1">
      <c r="A27" s="681" t="s">
        <v>115</v>
      </c>
      <c r="B27" s="780"/>
      <c r="C27" s="682">
        <f ca="1">C22+C16+C26</f>
        <v>13906.244622865313</v>
      </c>
      <c r="D27" s="682">
        <f t="shared" ref="D27:R27" ca="1" si="3">D22+D16+D26</f>
        <v>10710</v>
      </c>
      <c r="E27" s="682">
        <f t="shared" ca="1" si="3"/>
        <v>11466.541807500533</v>
      </c>
      <c r="F27" s="682">
        <f t="shared" si="3"/>
        <v>10778.558154598077</v>
      </c>
      <c r="G27" s="682">
        <f t="shared" ca="1" si="3"/>
        <v>16828.289024822829</v>
      </c>
      <c r="H27" s="682">
        <f t="shared" si="3"/>
        <v>25131.488597353815</v>
      </c>
      <c r="I27" s="682">
        <f t="shared" si="3"/>
        <v>4758.823052949444</v>
      </c>
      <c r="J27" s="682">
        <f t="shared" si="3"/>
        <v>0</v>
      </c>
      <c r="K27" s="682">
        <f t="shared" si="3"/>
        <v>3172.0872508186071</v>
      </c>
      <c r="L27" s="682">
        <f t="shared" si="3"/>
        <v>0</v>
      </c>
      <c r="M27" s="682">
        <f t="shared" ca="1" si="3"/>
        <v>0</v>
      </c>
      <c r="N27" s="682">
        <f t="shared" si="3"/>
        <v>1602.0536202548749</v>
      </c>
      <c r="O27" s="682">
        <f t="shared" ca="1" si="3"/>
        <v>6264.7698194363747</v>
      </c>
      <c r="P27" s="682">
        <f t="shared" si="3"/>
        <v>90.673333333333332</v>
      </c>
      <c r="Q27" s="682">
        <f t="shared" si="3"/>
        <v>209.73333333333335</v>
      </c>
      <c r="R27" s="682">
        <f t="shared" ca="1" si="3"/>
        <v>104919.26261726653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217.98039131226236</v>
      </c>
      <c r="D40" s="991">
        <f ca="1">tertiair!C20</f>
        <v>0</v>
      </c>
      <c r="E40" s="991">
        <f ca="1">tertiair!D20</f>
        <v>500.92686126548767</v>
      </c>
      <c r="F40" s="991">
        <f>tertiair!E20</f>
        <v>9.3705048061705547</v>
      </c>
      <c r="G40" s="991">
        <f ca="1">tertiair!F20</f>
        <v>130.10850074400591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858.38625812792645</v>
      </c>
    </row>
    <row r="41" spans="1:18">
      <c r="A41" s="797" t="s">
        <v>224</v>
      </c>
      <c r="B41" s="804"/>
      <c r="C41" s="991">
        <f ca="1">huishoudens!B12</f>
        <v>435.20778719038861</v>
      </c>
      <c r="D41" s="991">
        <f ca="1">huishoudens!C12</f>
        <v>0</v>
      </c>
      <c r="E41" s="991">
        <f>huishoudens!D12</f>
        <v>1557.043631403385</v>
      </c>
      <c r="F41" s="991">
        <f>huishoudens!E12</f>
        <v>2402.700595863671</v>
      </c>
      <c r="G41" s="991">
        <f>huishoudens!F12</f>
        <v>2054.4800281770335</v>
      </c>
      <c r="H41" s="991">
        <f>huishoudens!G12</f>
        <v>0</v>
      </c>
      <c r="I41" s="991">
        <f>huishoudens!H12</f>
        <v>0</v>
      </c>
      <c r="J41" s="991">
        <f>huishoudens!I12</f>
        <v>0</v>
      </c>
      <c r="K41" s="991">
        <f>huishoudens!J12</f>
        <v>958.39501463250713</v>
      </c>
      <c r="L41" s="991">
        <f>huishoudens!K12</f>
        <v>0</v>
      </c>
      <c r="M41" s="991">
        <f>huishoudens!L12</f>
        <v>0</v>
      </c>
      <c r="N41" s="991">
        <f>huishoudens!M12</f>
        <v>0</v>
      </c>
      <c r="O41" s="991">
        <f>huishoudens!N12</f>
        <v>0</v>
      </c>
      <c r="P41" s="991">
        <f>huishoudens!O12</f>
        <v>0</v>
      </c>
      <c r="Q41" s="749">
        <f>huishoudens!P12</f>
        <v>0</v>
      </c>
      <c r="R41" s="825">
        <f t="shared" ca="1" si="4"/>
        <v>7407.8270572669853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58.203188742371154</v>
      </c>
      <c r="D43" s="991">
        <f ca="1">industrie!C22</f>
        <v>0</v>
      </c>
      <c r="E43" s="991">
        <f>industrie!D22</f>
        <v>214.34288253631792</v>
      </c>
      <c r="F43" s="991">
        <f>industrie!E22</f>
        <v>11.440361464357357</v>
      </c>
      <c r="G43" s="991">
        <f>industrie!F22</f>
        <v>316.76327875817583</v>
      </c>
      <c r="H43" s="991">
        <f>industrie!G22</f>
        <v>0</v>
      </c>
      <c r="I43" s="991">
        <f>industrie!H22</f>
        <v>0</v>
      </c>
      <c r="J43" s="991">
        <f>industrie!I22</f>
        <v>0</v>
      </c>
      <c r="K43" s="991">
        <f>industrie!J22</f>
        <v>4.9511260822605037</v>
      </c>
      <c r="L43" s="991">
        <f>industrie!K22</f>
        <v>0</v>
      </c>
      <c r="M43" s="991">
        <f>industrie!L22</f>
        <v>0</v>
      </c>
      <c r="N43" s="991">
        <f>industrie!M22</f>
        <v>0</v>
      </c>
      <c r="O43" s="991">
        <f>industrie!N22</f>
        <v>0</v>
      </c>
      <c r="P43" s="991">
        <f>industrie!O22</f>
        <v>0</v>
      </c>
      <c r="Q43" s="749">
        <f>industrie!P22</f>
        <v>0</v>
      </c>
      <c r="R43" s="824">
        <f t="shared" ca="1" si="4"/>
        <v>605.70083758348278</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711.39136724502214</v>
      </c>
      <c r="D46" s="707">
        <f t="shared" ref="D46:Q46" ca="1" si="5">SUM(D39:D45)</f>
        <v>0</v>
      </c>
      <c r="E46" s="707">
        <f t="shared" ca="1" si="5"/>
        <v>2272.3133752051908</v>
      </c>
      <c r="F46" s="707">
        <f t="shared" si="5"/>
        <v>2423.5114621341991</v>
      </c>
      <c r="G46" s="707">
        <f t="shared" ca="1" si="5"/>
        <v>2501.3518076792152</v>
      </c>
      <c r="H46" s="707">
        <f t="shared" si="5"/>
        <v>0</v>
      </c>
      <c r="I46" s="707">
        <f t="shared" si="5"/>
        <v>0</v>
      </c>
      <c r="J46" s="707">
        <f t="shared" si="5"/>
        <v>0</v>
      </c>
      <c r="K46" s="707">
        <f t="shared" si="5"/>
        <v>963.34614071476767</v>
      </c>
      <c r="L46" s="707">
        <f t="shared" si="5"/>
        <v>0</v>
      </c>
      <c r="M46" s="707">
        <f t="shared" ca="1" si="5"/>
        <v>0</v>
      </c>
      <c r="N46" s="707">
        <f t="shared" si="5"/>
        <v>0</v>
      </c>
      <c r="O46" s="707">
        <f t="shared" ca="1" si="5"/>
        <v>0</v>
      </c>
      <c r="P46" s="707">
        <f t="shared" si="5"/>
        <v>0</v>
      </c>
      <c r="Q46" s="707">
        <f t="shared" si="5"/>
        <v>0</v>
      </c>
      <c r="R46" s="707">
        <f ca="1">SUM(R39:R45)</f>
        <v>8871.9141529783956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50.861453576043395</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50.861453576043395</v>
      </c>
    </row>
    <row r="50" spans="1:18">
      <c r="A50" s="800" t="s">
        <v>306</v>
      </c>
      <c r="B50" s="810"/>
      <c r="C50" s="678">
        <f ca="1">transport!B18</f>
        <v>0.28383155348521666</v>
      </c>
      <c r="D50" s="678">
        <f>transport!C18</f>
        <v>0</v>
      </c>
      <c r="E50" s="678">
        <f>transport!D18</f>
        <v>1.5771417329327477</v>
      </c>
      <c r="F50" s="678">
        <f>transport!E18</f>
        <v>17.039196838584434</v>
      </c>
      <c r="G50" s="678">
        <f>transport!F18</f>
        <v>0</v>
      </c>
      <c r="H50" s="678">
        <f>transport!G18</f>
        <v>6659.2460019174259</v>
      </c>
      <c r="I50" s="678">
        <f>transport!H18</f>
        <v>1184.9469401844115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7863.0931122268403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0.28383155348521666</v>
      </c>
      <c r="D52" s="707">
        <f t="shared" ref="D52:Q52" ca="1" si="6">SUM(D48:D51)</f>
        <v>0</v>
      </c>
      <c r="E52" s="707">
        <f t="shared" si="6"/>
        <v>1.5771417329327477</v>
      </c>
      <c r="F52" s="707">
        <f t="shared" si="6"/>
        <v>17.039196838584434</v>
      </c>
      <c r="G52" s="707">
        <f t="shared" si="6"/>
        <v>0</v>
      </c>
      <c r="H52" s="707">
        <f t="shared" si="6"/>
        <v>6710.1074554934694</v>
      </c>
      <c r="I52" s="707">
        <f t="shared" si="6"/>
        <v>1184.9469401844115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7913.9545658028837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197.84060024266159</v>
      </c>
      <c r="D54" s="678">
        <f ca="1">+landbouw!C12</f>
        <v>0</v>
      </c>
      <c r="E54" s="678">
        <f>+landbouw!D12</f>
        <v>13.384246892752426</v>
      </c>
      <c r="F54" s="678">
        <f>+landbouw!E12</f>
        <v>6.1820421209798884</v>
      </c>
      <c r="G54" s="678">
        <f>+landbouw!F12</f>
        <v>1991.8013619484798</v>
      </c>
      <c r="H54" s="678">
        <f>+landbouw!G12</f>
        <v>0</v>
      </c>
      <c r="I54" s="678">
        <f>+landbouw!H12</f>
        <v>0</v>
      </c>
      <c r="J54" s="678">
        <f>+landbouw!I12</f>
        <v>0</v>
      </c>
      <c r="K54" s="678">
        <f>+landbouw!J12</f>
        <v>159.57274607501927</v>
      </c>
      <c r="L54" s="678">
        <f>+landbouw!K12</f>
        <v>0</v>
      </c>
      <c r="M54" s="678">
        <f>+landbouw!L12</f>
        <v>0</v>
      </c>
      <c r="N54" s="678">
        <f>+landbouw!M12</f>
        <v>0</v>
      </c>
      <c r="O54" s="678">
        <f>+landbouw!N12</f>
        <v>0</v>
      </c>
      <c r="P54" s="678">
        <f>+landbouw!O12</f>
        <v>0</v>
      </c>
      <c r="Q54" s="679">
        <f>+landbouw!P12</f>
        <v>0</v>
      </c>
      <c r="R54" s="706">
        <f ca="1">SUM(C54:Q54)</f>
        <v>2368.7809972798932</v>
      </c>
    </row>
    <row r="55" spans="1:18" ht="15" thickBot="1">
      <c r="A55" s="800" t="s">
        <v>849</v>
      </c>
      <c r="B55" s="810"/>
      <c r="C55" s="678">
        <f ca="1">C25*'EF ele_warmte'!B12</f>
        <v>26.19921638519877</v>
      </c>
      <c r="D55" s="678"/>
      <c r="E55" s="678">
        <f>E25*EF_CO2_aardgas</f>
        <v>28.966681284232155</v>
      </c>
      <c r="F55" s="678"/>
      <c r="G55" s="678"/>
      <c r="H55" s="678"/>
      <c r="I55" s="678"/>
      <c r="J55" s="678"/>
      <c r="K55" s="678"/>
      <c r="L55" s="678"/>
      <c r="M55" s="678"/>
      <c r="N55" s="678"/>
      <c r="O55" s="678"/>
      <c r="P55" s="678"/>
      <c r="Q55" s="679"/>
      <c r="R55" s="706">
        <f ca="1">SUM(C55:Q55)</f>
        <v>55.165897669430926</v>
      </c>
    </row>
    <row r="56" spans="1:18" ht="15.75" thickBot="1">
      <c r="A56" s="798" t="s">
        <v>850</v>
      </c>
      <c r="B56" s="811"/>
      <c r="C56" s="707">
        <f ca="1">SUM(C54:C55)</f>
        <v>224.03981662786038</v>
      </c>
      <c r="D56" s="707">
        <f t="shared" ref="D56:Q56" ca="1" si="7">SUM(D54:D55)</f>
        <v>0</v>
      </c>
      <c r="E56" s="707">
        <f t="shared" si="7"/>
        <v>42.350928176984581</v>
      </c>
      <c r="F56" s="707">
        <f t="shared" si="7"/>
        <v>6.1820421209798884</v>
      </c>
      <c r="G56" s="707">
        <f t="shared" si="7"/>
        <v>1991.8013619484798</v>
      </c>
      <c r="H56" s="707">
        <f t="shared" si="7"/>
        <v>0</v>
      </c>
      <c r="I56" s="707">
        <f t="shared" si="7"/>
        <v>0</v>
      </c>
      <c r="J56" s="707">
        <f t="shared" si="7"/>
        <v>0</v>
      </c>
      <c r="K56" s="707">
        <f t="shared" si="7"/>
        <v>159.57274607501927</v>
      </c>
      <c r="L56" s="707">
        <f t="shared" si="7"/>
        <v>0</v>
      </c>
      <c r="M56" s="707">
        <f t="shared" si="7"/>
        <v>0</v>
      </c>
      <c r="N56" s="707">
        <f t="shared" si="7"/>
        <v>0</v>
      </c>
      <c r="O56" s="707">
        <f t="shared" si="7"/>
        <v>0</v>
      </c>
      <c r="P56" s="707">
        <f t="shared" si="7"/>
        <v>0</v>
      </c>
      <c r="Q56" s="708">
        <f t="shared" si="7"/>
        <v>0</v>
      </c>
      <c r="R56" s="709">
        <f ca="1">SUM(R54:R55)</f>
        <v>2423.9468949493239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935.7150154263677</v>
      </c>
      <c r="D61" s="715">
        <f t="shared" ref="D61:Q61" ca="1" si="8">D46+D52+D56</f>
        <v>0</v>
      </c>
      <c r="E61" s="715">
        <f t="shared" ca="1" si="8"/>
        <v>2316.2414451151085</v>
      </c>
      <c r="F61" s="715">
        <f t="shared" si="8"/>
        <v>2446.7327010937634</v>
      </c>
      <c r="G61" s="715">
        <f t="shared" ca="1" si="8"/>
        <v>4493.1531696276952</v>
      </c>
      <c r="H61" s="715">
        <f t="shared" si="8"/>
        <v>6710.1074554934694</v>
      </c>
      <c r="I61" s="715">
        <f t="shared" si="8"/>
        <v>1184.9469401844115</v>
      </c>
      <c r="J61" s="715">
        <f t="shared" si="8"/>
        <v>0</v>
      </c>
      <c r="K61" s="715">
        <f t="shared" si="8"/>
        <v>1122.9188867897869</v>
      </c>
      <c r="L61" s="715">
        <f t="shared" si="8"/>
        <v>0</v>
      </c>
      <c r="M61" s="715">
        <f t="shared" ca="1" si="8"/>
        <v>0</v>
      </c>
      <c r="N61" s="715">
        <f t="shared" si="8"/>
        <v>0</v>
      </c>
      <c r="O61" s="715">
        <f t="shared" ca="1" si="8"/>
        <v>0</v>
      </c>
      <c r="P61" s="715">
        <f t="shared" si="8"/>
        <v>0</v>
      </c>
      <c r="Q61" s="715">
        <f t="shared" si="8"/>
        <v>0</v>
      </c>
      <c r="R61" s="715">
        <f ca="1">R46+R52+R56</f>
        <v>19209.815613730603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6.7287397913871033E-2</v>
      </c>
      <c r="D63" s="756">
        <f t="shared" ca="1" si="9"/>
        <v>0</v>
      </c>
      <c r="E63" s="1002">
        <f t="shared" ca="1" si="9"/>
        <v>0.20200000000000007</v>
      </c>
      <c r="F63" s="756">
        <f t="shared" si="9"/>
        <v>0.22700000000000001</v>
      </c>
      <c r="G63" s="756">
        <f t="shared" ca="1" si="9"/>
        <v>0.26700000000000002</v>
      </c>
      <c r="H63" s="756">
        <f t="shared" si="9"/>
        <v>0.26700000000000002</v>
      </c>
      <c r="I63" s="756">
        <f t="shared" si="9"/>
        <v>0.24899999999999997</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2175.2400281758669</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7497</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8820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9672.2400281758673</v>
      </c>
      <c r="C78" s="730">
        <f>SUM(C72:C77)</f>
        <v>0</v>
      </c>
      <c r="D78" s="731">
        <f t="shared" ref="D78:H78" si="10">SUM(D76:D77)</f>
        <v>0</v>
      </c>
      <c r="E78" s="731">
        <f t="shared" si="10"/>
        <v>0</v>
      </c>
      <c r="F78" s="731">
        <f t="shared" si="10"/>
        <v>0</v>
      </c>
      <c r="G78" s="731">
        <f t="shared" si="10"/>
        <v>0</v>
      </c>
      <c r="H78" s="731">
        <f t="shared" si="10"/>
        <v>0</v>
      </c>
      <c r="I78" s="731">
        <f>SUM(I76:I77)</f>
        <v>0</v>
      </c>
      <c r="J78" s="731">
        <f>SUM(J76:J77)</f>
        <v>8820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10710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12600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10710</v>
      </c>
      <c r="C90" s="730">
        <f>SUM(C87:C89)</f>
        <v>0</v>
      </c>
      <c r="D90" s="730">
        <f t="shared" ref="D90:H90" si="12">SUM(D87:D89)</f>
        <v>0</v>
      </c>
      <c r="E90" s="730">
        <f t="shared" si="12"/>
        <v>0</v>
      </c>
      <c r="F90" s="730">
        <f t="shared" si="12"/>
        <v>0</v>
      </c>
      <c r="G90" s="730">
        <f t="shared" si="12"/>
        <v>0</v>
      </c>
      <c r="H90" s="730">
        <f t="shared" si="12"/>
        <v>0</v>
      </c>
      <c r="I90" s="730">
        <f>SUM(I87:I89)</f>
        <v>0</v>
      </c>
      <c r="J90" s="730">
        <f>SUM(J87:J89)</f>
        <v>12600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6467.8944450707068</v>
      </c>
      <c r="C4" s="452">
        <f>huishoudens!C8</f>
        <v>0</v>
      </c>
      <c r="D4" s="452">
        <f>huishoudens!D8</f>
        <v>7708.1367891256677</v>
      </c>
      <c r="E4" s="452">
        <f>huishoudens!E8</f>
        <v>10584.584122747448</v>
      </c>
      <c r="F4" s="452">
        <f>huishoudens!F8</f>
        <v>7694.6817534720358</v>
      </c>
      <c r="G4" s="452">
        <f>huishoudens!G8</f>
        <v>0</v>
      </c>
      <c r="H4" s="452">
        <f>huishoudens!H8</f>
        <v>0</v>
      </c>
      <c r="I4" s="452">
        <f>huishoudens!I8</f>
        <v>0</v>
      </c>
      <c r="J4" s="452">
        <f>huishoudens!J8</f>
        <v>2707.3305498093423</v>
      </c>
      <c r="K4" s="452">
        <f>huishoudens!K8</f>
        <v>0</v>
      </c>
      <c r="L4" s="452">
        <f>huishoudens!L8</f>
        <v>0</v>
      </c>
      <c r="M4" s="452">
        <f>huishoudens!M8</f>
        <v>0</v>
      </c>
      <c r="N4" s="452">
        <f>huishoudens!N8</f>
        <v>5609.6402097561158</v>
      </c>
      <c r="O4" s="452">
        <f>huishoudens!O8</f>
        <v>89.11</v>
      </c>
      <c r="P4" s="453">
        <f>huishoudens!P8</f>
        <v>190.66666666666669</v>
      </c>
      <c r="Q4" s="454">
        <f>SUM(B4:P4)</f>
        <v>41052.044536647983</v>
      </c>
    </row>
    <row r="5" spans="1:17">
      <c r="A5" s="451" t="s">
        <v>155</v>
      </c>
      <c r="B5" s="452">
        <f ca="1">tertiair!B16</f>
        <v>2983.1795900000002</v>
      </c>
      <c r="C5" s="452">
        <f ca="1">tertiair!C16</f>
        <v>0</v>
      </c>
      <c r="D5" s="452">
        <f ca="1">tertiair!D16</f>
        <v>2479.8359468588496</v>
      </c>
      <c r="E5" s="452">
        <f>tertiair!E16</f>
        <v>41.279756855376888</v>
      </c>
      <c r="F5" s="452">
        <f ca="1">tertiair!F16</f>
        <v>487.29775559552775</v>
      </c>
      <c r="G5" s="452">
        <f>tertiair!G16</f>
        <v>0</v>
      </c>
      <c r="H5" s="452">
        <f>tertiair!H16</f>
        <v>0</v>
      </c>
      <c r="I5" s="452">
        <f>tertiair!I16</f>
        <v>0</v>
      </c>
      <c r="J5" s="452">
        <f>tertiair!J16</f>
        <v>0</v>
      </c>
      <c r="K5" s="452">
        <f>tertiair!K16</f>
        <v>0</v>
      </c>
      <c r="L5" s="452">
        <f ca="1">tertiair!L16</f>
        <v>0</v>
      </c>
      <c r="M5" s="452">
        <f>tertiair!M16</f>
        <v>0</v>
      </c>
      <c r="N5" s="452">
        <f ca="1">tertiair!N16</f>
        <v>343.70185777351958</v>
      </c>
      <c r="O5" s="452">
        <f>tertiair!O16</f>
        <v>1.5633333333333335</v>
      </c>
      <c r="P5" s="453">
        <f>tertiair!P16</f>
        <v>19.066666666666666</v>
      </c>
      <c r="Q5" s="451">
        <f t="shared" ref="Q5:Q14" ca="1" si="0">SUM(B5:P5)</f>
        <v>6355.9249070832739</v>
      </c>
    </row>
    <row r="6" spans="1:17">
      <c r="A6" s="451" t="s">
        <v>193</v>
      </c>
      <c r="B6" s="452">
        <f>'openbare verlichting'!B8</f>
        <v>256.363</v>
      </c>
      <c r="C6" s="452"/>
      <c r="D6" s="452"/>
      <c r="E6" s="452"/>
      <c r="F6" s="452"/>
      <c r="G6" s="452"/>
      <c r="H6" s="452"/>
      <c r="I6" s="452"/>
      <c r="J6" s="452"/>
      <c r="K6" s="452"/>
      <c r="L6" s="452"/>
      <c r="M6" s="452"/>
      <c r="N6" s="452"/>
      <c r="O6" s="452"/>
      <c r="P6" s="453"/>
      <c r="Q6" s="451">
        <f t="shared" si="0"/>
        <v>256.363</v>
      </c>
    </row>
    <row r="7" spans="1:17">
      <c r="A7" s="451" t="s">
        <v>111</v>
      </c>
      <c r="B7" s="452">
        <f>landbouw!B8</f>
        <v>2940.2325900000001</v>
      </c>
      <c r="C7" s="452">
        <f>landbouw!C8</f>
        <v>10710</v>
      </c>
      <c r="D7" s="452">
        <f>landbouw!D8</f>
        <v>66.258647983922899</v>
      </c>
      <c r="E7" s="452">
        <f>landbouw!E8</f>
        <v>27.233665731188935</v>
      </c>
      <c r="F7" s="452">
        <f>landbouw!F8</f>
        <v>7459.9301945635943</v>
      </c>
      <c r="G7" s="452">
        <f>landbouw!G8</f>
        <v>0</v>
      </c>
      <c r="H7" s="452">
        <f>landbouw!H8</f>
        <v>0</v>
      </c>
      <c r="I7" s="452">
        <f>landbouw!I8</f>
        <v>0</v>
      </c>
      <c r="J7" s="452">
        <f>landbouw!J8</f>
        <v>450.77046913847249</v>
      </c>
      <c r="K7" s="452">
        <f>landbouw!K8</f>
        <v>0</v>
      </c>
      <c r="L7" s="452">
        <f>landbouw!L8</f>
        <v>0</v>
      </c>
      <c r="M7" s="452">
        <f>landbouw!M8</f>
        <v>0</v>
      </c>
      <c r="N7" s="452">
        <f>landbouw!N8</f>
        <v>0</v>
      </c>
      <c r="O7" s="452">
        <f>landbouw!O8</f>
        <v>0</v>
      </c>
      <c r="P7" s="453">
        <f>landbouw!P8</f>
        <v>0</v>
      </c>
      <c r="Q7" s="451">
        <f t="shared" si="0"/>
        <v>21654.42556741718</v>
      </c>
    </row>
    <row r="8" spans="1:17">
      <c r="A8" s="451" t="s">
        <v>649</v>
      </c>
      <c r="B8" s="452">
        <f>industrie!B18</f>
        <v>864.99389999999994</v>
      </c>
      <c r="C8" s="452">
        <f>industrie!C18</f>
        <v>0</v>
      </c>
      <c r="D8" s="452">
        <f>industrie!D18</f>
        <v>1061.1033788926629</v>
      </c>
      <c r="E8" s="452">
        <f>industrie!E18</f>
        <v>50.398068124922276</v>
      </c>
      <c r="F8" s="452">
        <f>industrie!F18</f>
        <v>1186.3793211916698</v>
      </c>
      <c r="G8" s="452">
        <f>industrie!G18</f>
        <v>0</v>
      </c>
      <c r="H8" s="452">
        <f>industrie!H18</f>
        <v>0</v>
      </c>
      <c r="I8" s="452">
        <f>industrie!I18</f>
        <v>0</v>
      </c>
      <c r="J8" s="452">
        <f>industrie!J18</f>
        <v>13.986231870792384</v>
      </c>
      <c r="K8" s="452">
        <f>industrie!K18</f>
        <v>0</v>
      </c>
      <c r="L8" s="452">
        <f>industrie!L18</f>
        <v>0</v>
      </c>
      <c r="M8" s="452">
        <f>industrie!M18</f>
        <v>0</v>
      </c>
      <c r="N8" s="452">
        <f>industrie!N18</f>
        <v>311.4277519067391</v>
      </c>
      <c r="O8" s="452">
        <f>industrie!O18</f>
        <v>0</v>
      </c>
      <c r="P8" s="453">
        <f>industrie!P18</f>
        <v>0</v>
      </c>
      <c r="Q8" s="451">
        <f t="shared" si="0"/>
        <v>3488.2886519867866</v>
      </c>
    </row>
    <row r="9" spans="1:17" s="457" customFormat="1">
      <c r="A9" s="455" t="s">
        <v>570</v>
      </c>
      <c r="B9" s="456">
        <f>transport!B14</f>
        <v>4.2181977946082228</v>
      </c>
      <c r="C9" s="456">
        <f>transport!C14</f>
        <v>0</v>
      </c>
      <c r="D9" s="456">
        <f>transport!D14</f>
        <v>7.8076323412512263</v>
      </c>
      <c r="E9" s="456">
        <f>transport!E14</f>
        <v>75.062541139138474</v>
      </c>
      <c r="F9" s="456">
        <f>transport!F14</f>
        <v>0</v>
      </c>
      <c r="G9" s="456">
        <f>transport!G14</f>
        <v>24940.996261863016</v>
      </c>
      <c r="H9" s="456">
        <f>transport!H14</f>
        <v>4758.823052949444</v>
      </c>
      <c r="I9" s="456">
        <f>transport!I14</f>
        <v>0</v>
      </c>
      <c r="J9" s="456">
        <f>transport!J14</f>
        <v>0</v>
      </c>
      <c r="K9" s="456">
        <f>transport!K14</f>
        <v>0</v>
      </c>
      <c r="L9" s="456">
        <f>transport!L14</f>
        <v>0</v>
      </c>
      <c r="M9" s="456">
        <f>transport!M14</f>
        <v>1591.1656581612451</v>
      </c>
      <c r="N9" s="456">
        <f>transport!N14</f>
        <v>0</v>
      </c>
      <c r="O9" s="456">
        <f>transport!O14</f>
        <v>0</v>
      </c>
      <c r="P9" s="456">
        <f>transport!P14</f>
        <v>0</v>
      </c>
      <c r="Q9" s="455">
        <f>SUM(B9:P9)</f>
        <v>31378.0733442487</v>
      </c>
    </row>
    <row r="10" spans="1:17">
      <c r="A10" s="451" t="s">
        <v>560</v>
      </c>
      <c r="B10" s="452">
        <f>transport!B54</f>
        <v>0</v>
      </c>
      <c r="C10" s="452">
        <f>transport!C54</f>
        <v>0</v>
      </c>
      <c r="D10" s="452">
        <f>transport!D54</f>
        <v>0</v>
      </c>
      <c r="E10" s="452">
        <f>transport!E54</f>
        <v>0</v>
      </c>
      <c r="F10" s="452">
        <f>transport!F54</f>
        <v>0</v>
      </c>
      <c r="G10" s="452">
        <f>transport!G54</f>
        <v>190.49233549079923</v>
      </c>
      <c r="H10" s="452">
        <f>transport!H54</f>
        <v>0</v>
      </c>
      <c r="I10" s="452">
        <f>transport!I54</f>
        <v>0</v>
      </c>
      <c r="J10" s="452">
        <f>transport!J54</f>
        <v>0</v>
      </c>
      <c r="K10" s="452">
        <f>transport!K54</f>
        <v>0</v>
      </c>
      <c r="L10" s="452">
        <f>transport!L54</f>
        <v>0</v>
      </c>
      <c r="M10" s="452">
        <f>transport!M54</f>
        <v>10.887962093629692</v>
      </c>
      <c r="N10" s="452">
        <f>transport!N54</f>
        <v>0</v>
      </c>
      <c r="O10" s="452">
        <f>transport!O54</f>
        <v>0</v>
      </c>
      <c r="P10" s="453">
        <f>transport!P54</f>
        <v>0</v>
      </c>
      <c r="Q10" s="451">
        <f t="shared" si="0"/>
        <v>201.38029758442892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389.36290000000002</v>
      </c>
      <c r="C14" s="459"/>
      <c r="D14" s="459">
        <f>'SEAP template'!E25</f>
        <v>143.39941229817899</v>
      </c>
      <c r="E14" s="459"/>
      <c r="F14" s="459"/>
      <c r="G14" s="459"/>
      <c r="H14" s="459"/>
      <c r="I14" s="459"/>
      <c r="J14" s="459"/>
      <c r="K14" s="459"/>
      <c r="L14" s="459"/>
      <c r="M14" s="459"/>
      <c r="N14" s="459"/>
      <c r="O14" s="459"/>
      <c r="P14" s="460"/>
      <c r="Q14" s="451">
        <f t="shared" si="0"/>
        <v>532.76231229817904</v>
      </c>
    </row>
    <row r="15" spans="1:17" s="461" customFormat="1">
      <c r="A15" s="1017" t="s">
        <v>564</v>
      </c>
      <c r="B15" s="957">
        <f ca="1">SUM(B4:B14)</f>
        <v>13906.244622865313</v>
      </c>
      <c r="C15" s="957">
        <f t="shared" ref="C15:Q15" ca="1" si="1">SUM(C4:C14)</f>
        <v>10710</v>
      </c>
      <c r="D15" s="957">
        <f t="shared" ca="1" si="1"/>
        <v>11466.541807500533</v>
      </c>
      <c r="E15" s="957">
        <f t="shared" si="1"/>
        <v>10778.558154598077</v>
      </c>
      <c r="F15" s="957">
        <f t="shared" ca="1" si="1"/>
        <v>16828.289024822829</v>
      </c>
      <c r="G15" s="957">
        <f t="shared" si="1"/>
        <v>25131.488597353815</v>
      </c>
      <c r="H15" s="957">
        <f t="shared" si="1"/>
        <v>4758.823052949444</v>
      </c>
      <c r="I15" s="957">
        <f t="shared" si="1"/>
        <v>0</v>
      </c>
      <c r="J15" s="957">
        <f t="shared" si="1"/>
        <v>3172.0872508186071</v>
      </c>
      <c r="K15" s="957">
        <f t="shared" si="1"/>
        <v>0</v>
      </c>
      <c r="L15" s="957">
        <f t="shared" ca="1" si="1"/>
        <v>0</v>
      </c>
      <c r="M15" s="957">
        <f t="shared" si="1"/>
        <v>1602.0536202548749</v>
      </c>
      <c r="N15" s="957">
        <f t="shared" ca="1" si="1"/>
        <v>6264.7698194363747</v>
      </c>
      <c r="O15" s="957">
        <f t="shared" si="1"/>
        <v>90.673333333333332</v>
      </c>
      <c r="P15" s="957">
        <f t="shared" si="1"/>
        <v>209.73333333333335</v>
      </c>
      <c r="Q15" s="957">
        <f t="shared" ca="1" si="1"/>
        <v>104919.26261726652</v>
      </c>
    </row>
    <row r="17" spans="1:17">
      <c r="A17" s="462" t="s">
        <v>565</v>
      </c>
      <c r="B17" s="761">
        <f ca="1">huishoudens!B10</f>
        <v>6.7287397913871019E-2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435.20778719038861</v>
      </c>
      <c r="C22" s="452">
        <f t="shared" ref="C22:C32" ca="1" si="3">C4*$C$17</f>
        <v>0</v>
      </c>
      <c r="D22" s="452">
        <f t="shared" ref="D22:D32" si="4">D4*$D$17</f>
        <v>1557.043631403385</v>
      </c>
      <c r="E22" s="452">
        <f t="shared" ref="E22:E32" si="5">E4*$E$17</f>
        <v>2402.700595863671</v>
      </c>
      <c r="F22" s="452">
        <f t="shared" ref="F22:F32" si="6">F4*$F$17</f>
        <v>2054.4800281770335</v>
      </c>
      <c r="G22" s="452">
        <f t="shared" ref="G22:G32" si="7">G4*$G$17</f>
        <v>0</v>
      </c>
      <c r="H22" s="452">
        <f t="shared" ref="H22:H32" si="8">H4*$H$17</f>
        <v>0</v>
      </c>
      <c r="I22" s="452">
        <f t="shared" ref="I22:I32" si="9">I4*$I$17</f>
        <v>0</v>
      </c>
      <c r="J22" s="452">
        <f t="shared" ref="J22:J32" si="10">J4*$J$17</f>
        <v>958.39501463250713</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7407.8270572669853</v>
      </c>
    </row>
    <row r="23" spans="1:17">
      <c r="A23" s="451" t="s">
        <v>155</v>
      </c>
      <c r="B23" s="452">
        <f t="shared" ca="1" si="2"/>
        <v>200.73039212086863</v>
      </c>
      <c r="C23" s="452">
        <f t="shared" ca="1" si="3"/>
        <v>0</v>
      </c>
      <c r="D23" s="452">
        <f t="shared" ca="1" si="4"/>
        <v>500.92686126548767</v>
      </c>
      <c r="E23" s="452">
        <f t="shared" si="5"/>
        <v>9.3705048061705547</v>
      </c>
      <c r="F23" s="452">
        <f t="shared" ca="1" si="6"/>
        <v>130.10850074400591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841.13625893653273</v>
      </c>
    </row>
    <row r="24" spans="1:17">
      <c r="A24" s="451" t="s">
        <v>193</v>
      </c>
      <c r="B24" s="452">
        <f t="shared" ca="1" si="2"/>
        <v>17.249999191393716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17.249999191393716</v>
      </c>
    </row>
    <row r="25" spans="1:17">
      <c r="A25" s="451" t="s">
        <v>111</v>
      </c>
      <c r="B25" s="452">
        <f t="shared" ca="1" si="2"/>
        <v>197.84060024266159</v>
      </c>
      <c r="C25" s="452">
        <f t="shared" ca="1" si="3"/>
        <v>0</v>
      </c>
      <c r="D25" s="452">
        <f t="shared" si="4"/>
        <v>13.384246892752426</v>
      </c>
      <c r="E25" s="452">
        <f t="shared" si="5"/>
        <v>6.1820421209798884</v>
      </c>
      <c r="F25" s="452">
        <f t="shared" si="6"/>
        <v>1991.8013619484798</v>
      </c>
      <c r="G25" s="452">
        <f t="shared" si="7"/>
        <v>0</v>
      </c>
      <c r="H25" s="452">
        <f t="shared" si="8"/>
        <v>0</v>
      </c>
      <c r="I25" s="452">
        <f t="shared" si="9"/>
        <v>0</v>
      </c>
      <c r="J25" s="452">
        <f t="shared" si="10"/>
        <v>159.57274607501927</v>
      </c>
      <c r="K25" s="452">
        <f t="shared" si="11"/>
        <v>0</v>
      </c>
      <c r="L25" s="452">
        <f t="shared" si="12"/>
        <v>0</v>
      </c>
      <c r="M25" s="452">
        <f t="shared" si="13"/>
        <v>0</v>
      </c>
      <c r="N25" s="452">
        <f t="shared" si="14"/>
        <v>0</v>
      </c>
      <c r="O25" s="452">
        <f t="shared" si="15"/>
        <v>0</v>
      </c>
      <c r="P25" s="453">
        <f t="shared" si="16"/>
        <v>0</v>
      </c>
      <c r="Q25" s="451">
        <f t="shared" ca="1" si="17"/>
        <v>2368.7809972798932</v>
      </c>
    </row>
    <row r="26" spans="1:17">
      <c r="A26" s="451" t="s">
        <v>649</v>
      </c>
      <c r="B26" s="452">
        <f t="shared" ca="1" si="2"/>
        <v>58.203188742371154</v>
      </c>
      <c r="C26" s="452">
        <f t="shared" ca="1" si="3"/>
        <v>0</v>
      </c>
      <c r="D26" s="452">
        <f t="shared" si="4"/>
        <v>214.34288253631792</v>
      </c>
      <c r="E26" s="452">
        <f t="shared" si="5"/>
        <v>11.440361464357357</v>
      </c>
      <c r="F26" s="452">
        <f t="shared" si="6"/>
        <v>316.76327875817583</v>
      </c>
      <c r="G26" s="452">
        <f t="shared" si="7"/>
        <v>0</v>
      </c>
      <c r="H26" s="452">
        <f t="shared" si="8"/>
        <v>0</v>
      </c>
      <c r="I26" s="452">
        <f t="shared" si="9"/>
        <v>0</v>
      </c>
      <c r="J26" s="452">
        <f t="shared" si="10"/>
        <v>4.9511260822605037</v>
      </c>
      <c r="K26" s="452">
        <f t="shared" si="11"/>
        <v>0</v>
      </c>
      <c r="L26" s="452">
        <f t="shared" si="12"/>
        <v>0</v>
      </c>
      <c r="M26" s="452">
        <f t="shared" si="13"/>
        <v>0</v>
      </c>
      <c r="N26" s="452">
        <f t="shared" si="14"/>
        <v>0</v>
      </c>
      <c r="O26" s="452">
        <f t="shared" si="15"/>
        <v>0</v>
      </c>
      <c r="P26" s="453">
        <f t="shared" si="16"/>
        <v>0</v>
      </c>
      <c r="Q26" s="451">
        <f t="shared" ca="1" si="17"/>
        <v>605.70083758348278</v>
      </c>
    </row>
    <row r="27" spans="1:17" s="457" customFormat="1">
      <c r="A27" s="455" t="s">
        <v>570</v>
      </c>
      <c r="B27" s="755">
        <f t="shared" ca="1" si="2"/>
        <v>0.28383155348521666</v>
      </c>
      <c r="C27" s="456">
        <f t="shared" ca="1" si="3"/>
        <v>0</v>
      </c>
      <c r="D27" s="456">
        <f t="shared" si="4"/>
        <v>1.5771417329327477</v>
      </c>
      <c r="E27" s="456">
        <f t="shared" si="5"/>
        <v>17.039196838584434</v>
      </c>
      <c r="F27" s="456">
        <f t="shared" si="6"/>
        <v>0</v>
      </c>
      <c r="G27" s="456">
        <f t="shared" si="7"/>
        <v>6659.2460019174259</v>
      </c>
      <c r="H27" s="456">
        <f t="shared" si="8"/>
        <v>1184.9469401844115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7863.0931122268403</v>
      </c>
    </row>
    <row r="28" spans="1:17">
      <c r="A28" s="451" t="s">
        <v>560</v>
      </c>
      <c r="B28" s="452">
        <f t="shared" ca="1" si="2"/>
        <v>0</v>
      </c>
      <c r="C28" s="452">
        <f t="shared" ca="1" si="3"/>
        <v>0</v>
      </c>
      <c r="D28" s="452">
        <f t="shared" si="4"/>
        <v>0</v>
      </c>
      <c r="E28" s="452">
        <f t="shared" si="5"/>
        <v>0</v>
      </c>
      <c r="F28" s="452">
        <f t="shared" si="6"/>
        <v>0</v>
      </c>
      <c r="G28" s="452">
        <f t="shared" si="7"/>
        <v>50.861453576043395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50.861453576043395</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26.19921638519877</v>
      </c>
      <c r="C32" s="452">
        <f t="shared" ca="1" si="3"/>
        <v>0</v>
      </c>
      <c r="D32" s="452">
        <f t="shared" si="4"/>
        <v>28.966681284232155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55.165897669430926</v>
      </c>
    </row>
    <row r="33" spans="1:17" s="461" customFormat="1">
      <c r="A33" s="1017" t="s">
        <v>564</v>
      </c>
      <c r="B33" s="957">
        <f ca="1">SUM(B22:B32)</f>
        <v>935.7150154263677</v>
      </c>
      <c r="C33" s="957">
        <f t="shared" ref="C33:Q33" ca="1" si="18">SUM(C22:C32)</f>
        <v>0</v>
      </c>
      <c r="D33" s="957">
        <f t="shared" ca="1" si="18"/>
        <v>2316.241445115108</v>
      </c>
      <c r="E33" s="957">
        <f t="shared" si="18"/>
        <v>2446.7327010937634</v>
      </c>
      <c r="F33" s="957">
        <f t="shared" ca="1" si="18"/>
        <v>4493.1531696276952</v>
      </c>
      <c r="G33" s="957">
        <f t="shared" si="18"/>
        <v>6710.1074554934694</v>
      </c>
      <c r="H33" s="957">
        <f t="shared" si="18"/>
        <v>1184.9469401844115</v>
      </c>
      <c r="I33" s="957">
        <f t="shared" si="18"/>
        <v>0</v>
      </c>
      <c r="J33" s="957">
        <f t="shared" si="18"/>
        <v>1122.9188867897869</v>
      </c>
      <c r="K33" s="957">
        <f t="shared" si="18"/>
        <v>0</v>
      </c>
      <c r="L33" s="957">
        <f t="shared" ca="1" si="18"/>
        <v>0</v>
      </c>
      <c r="M33" s="957">
        <f t="shared" si="18"/>
        <v>0</v>
      </c>
      <c r="N33" s="957">
        <f t="shared" ca="1" si="18"/>
        <v>0</v>
      </c>
      <c r="O33" s="957">
        <f t="shared" si="18"/>
        <v>0</v>
      </c>
      <c r="P33" s="957">
        <f t="shared" si="18"/>
        <v>0</v>
      </c>
      <c r="Q33" s="957">
        <f t="shared" ca="1" si="18"/>
        <v>19209.815613730603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2175.2400281758669</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7497</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8820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9672.2400281758673</v>
      </c>
      <c r="C10" s="1038">
        <f>SUM(C4:C9)</f>
        <v>0</v>
      </c>
      <c r="D10" s="1038">
        <f t="shared" ref="D10:H10" si="0">SUM(D8:D9)</f>
        <v>0</v>
      </c>
      <c r="E10" s="1038">
        <f t="shared" si="0"/>
        <v>0</v>
      </c>
      <c r="F10" s="1038">
        <f t="shared" si="0"/>
        <v>0</v>
      </c>
      <c r="G10" s="1038">
        <f t="shared" si="0"/>
        <v>0</v>
      </c>
      <c r="H10" s="1038">
        <f t="shared" si="0"/>
        <v>0</v>
      </c>
      <c r="I10" s="1038">
        <f>SUM(I8:I9)</f>
        <v>0</v>
      </c>
      <c r="J10" s="1038">
        <f>SUM(J8:J9)</f>
        <v>8820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6.7287397913871019E-2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10710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12600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10710</v>
      </c>
      <c r="C20" s="1038">
        <f>SUM(C17:C19)</f>
        <v>0</v>
      </c>
      <c r="D20" s="1038">
        <f t="shared" ref="D20:H20" si="2">SUM(D17:D19)</f>
        <v>0</v>
      </c>
      <c r="E20" s="1038">
        <f t="shared" si="2"/>
        <v>0</v>
      </c>
      <c r="F20" s="1038">
        <f t="shared" si="2"/>
        <v>0</v>
      </c>
      <c r="G20" s="1038">
        <f t="shared" si="2"/>
        <v>0</v>
      </c>
      <c r="H20" s="1038">
        <f t="shared" si="2"/>
        <v>0</v>
      </c>
      <c r="I20" s="1038">
        <f>SUM(I17:I19)</f>
        <v>0</v>
      </c>
      <c r="J20" s="1038">
        <f>SUM(J17:J19)</f>
        <v>12600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6.7287397913871019E-2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6.7287397913871019E-2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6.7287397913871019E-2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1431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3149</v>
      </c>
      <c r="C14" s="330"/>
      <c r="D14" s="330"/>
      <c r="E14" s="330"/>
      <c r="F14" s="330"/>
    </row>
    <row r="15" spans="1:6">
      <c r="A15" s="1305" t="s">
        <v>183</v>
      </c>
      <c r="B15" s="1306">
        <v>46</v>
      </c>
      <c r="C15" s="330"/>
      <c r="D15" s="330"/>
      <c r="E15" s="330"/>
      <c r="F15" s="330"/>
    </row>
    <row r="16" spans="1:6">
      <c r="A16" s="1305" t="s">
        <v>6</v>
      </c>
      <c r="B16" s="1306">
        <v>1354</v>
      </c>
      <c r="C16" s="330"/>
      <c r="D16" s="330"/>
      <c r="E16" s="330"/>
      <c r="F16" s="330"/>
    </row>
    <row r="17" spans="1:6">
      <c r="A17" s="1305" t="s">
        <v>7</v>
      </c>
      <c r="B17" s="1306">
        <v>1193</v>
      </c>
      <c r="C17" s="330"/>
      <c r="D17" s="330"/>
      <c r="E17" s="330"/>
      <c r="F17" s="330"/>
    </row>
    <row r="18" spans="1:6">
      <c r="A18" s="1305" t="s">
        <v>8</v>
      </c>
      <c r="B18" s="1306">
        <v>1749</v>
      </c>
      <c r="C18" s="330"/>
      <c r="D18" s="330"/>
      <c r="E18" s="330"/>
      <c r="F18" s="330"/>
    </row>
    <row r="19" spans="1:6">
      <c r="A19" s="1305" t="s">
        <v>9</v>
      </c>
      <c r="B19" s="1306">
        <v>1754</v>
      </c>
      <c r="C19" s="330"/>
      <c r="D19" s="330"/>
      <c r="E19" s="330"/>
      <c r="F19" s="330"/>
    </row>
    <row r="20" spans="1:6">
      <c r="A20" s="1305" t="s">
        <v>10</v>
      </c>
      <c r="B20" s="1306">
        <v>787</v>
      </c>
      <c r="C20" s="330"/>
      <c r="D20" s="330"/>
      <c r="E20" s="330"/>
      <c r="F20" s="330"/>
    </row>
    <row r="21" spans="1:6">
      <c r="A21" s="1305" t="s">
        <v>11</v>
      </c>
      <c r="B21" s="1306">
        <v>20013</v>
      </c>
      <c r="C21" s="330"/>
      <c r="D21" s="330"/>
      <c r="E21" s="330"/>
      <c r="F21" s="330"/>
    </row>
    <row r="22" spans="1:6">
      <c r="A22" s="1305" t="s">
        <v>12</v>
      </c>
      <c r="B22" s="1306">
        <v>37696</v>
      </c>
      <c r="C22" s="330"/>
      <c r="D22" s="330"/>
      <c r="E22" s="330"/>
      <c r="F22" s="330"/>
    </row>
    <row r="23" spans="1:6">
      <c r="A23" s="1305" t="s">
        <v>13</v>
      </c>
      <c r="B23" s="1306">
        <v>583</v>
      </c>
      <c r="C23" s="330"/>
      <c r="D23" s="330"/>
      <c r="E23" s="330"/>
      <c r="F23" s="330"/>
    </row>
    <row r="24" spans="1:6">
      <c r="A24" s="1305" t="s">
        <v>14</v>
      </c>
      <c r="B24" s="1306">
        <v>35</v>
      </c>
      <c r="C24" s="330"/>
      <c r="D24" s="330"/>
      <c r="E24" s="330"/>
      <c r="F24" s="330"/>
    </row>
    <row r="25" spans="1:6">
      <c r="A25" s="1305" t="s">
        <v>15</v>
      </c>
      <c r="B25" s="1306">
        <v>4640</v>
      </c>
      <c r="C25" s="330"/>
      <c r="D25" s="330"/>
      <c r="E25" s="330"/>
      <c r="F25" s="330"/>
    </row>
    <row r="26" spans="1:6">
      <c r="A26" s="1305" t="s">
        <v>16</v>
      </c>
      <c r="B26" s="1306">
        <v>284</v>
      </c>
      <c r="C26" s="330"/>
      <c r="D26" s="330"/>
      <c r="E26" s="330"/>
      <c r="F26" s="330"/>
    </row>
    <row r="27" spans="1:6">
      <c r="A27" s="1305" t="s">
        <v>17</v>
      </c>
      <c r="B27" s="1306">
        <v>22</v>
      </c>
      <c r="C27" s="330"/>
      <c r="D27" s="330"/>
      <c r="E27" s="330"/>
      <c r="F27" s="330"/>
    </row>
    <row r="28" spans="1:6" s="43" customFormat="1">
      <c r="A28" s="1307" t="s">
        <v>18</v>
      </c>
      <c r="B28" s="1308">
        <v>142783</v>
      </c>
      <c r="C28" s="336"/>
      <c r="D28" s="336"/>
      <c r="E28" s="336"/>
      <c r="F28" s="336"/>
    </row>
    <row r="29" spans="1:6">
      <c r="A29" s="1307" t="s">
        <v>909</v>
      </c>
      <c r="B29" s="1308">
        <v>170</v>
      </c>
      <c r="C29" s="336"/>
      <c r="D29" s="336"/>
      <c r="E29" s="336"/>
      <c r="F29" s="336"/>
    </row>
    <row r="30" spans="1:6">
      <c r="A30" s="1300" t="s">
        <v>910</v>
      </c>
      <c r="B30" s="1309">
        <v>49</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978.31619999999998</v>
      </c>
    </row>
    <row r="39" spans="1:6">
      <c r="A39" s="1305" t="s">
        <v>29</v>
      </c>
      <c r="B39" s="1305" t="s">
        <v>30</v>
      </c>
      <c r="C39" s="1306">
        <v>593</v>
      </c>
      <c r="D39" s="1306">
        <v>8545606.1963699199</v>
      </c>
      <c r="E39" s="1306">
        <v>1263</v>
      </c>
      <c r="F39" s="1306">
        <v>5243737</v>
      </c>
    </row>
    <row r="40" spans="1:6">
      <c r="A40" s="1305" t="s">
        <v>29</v>
      </c>
      <c r="B40" s="1305" t="s">
        <v>28</v>
      </c>
      <c r="C40" s="1306">
        <v>0</v>
      </c>
      <c r="D40" s="1306">
        <v>0</v>
      </c>
      <c r="E40" s="1306">
        <v>0</v>
      </c>
      <c r="F40" s="1306">
        <v>0</v>
      </c>
    </row>
    <row r="41" spans="1:6">
      <c r="A41" s="1305" t="s">
        <v>31</v>
      </c>
      <c r="B41" s="1305" t="s">
        <v>32</v>
      </c>
      <c r="C41" s="1306">
        <v>4</v>
      </c>
      <c r="D41" s="1306">
        <v>37366.243334434599</v>
      </c>
      <c r="E41" s="1306">
        <v>16</v>
      </c>
      <c r="F41" s="1306">
        <v>128754.8</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0</v>
      </c>
      <c r="F44" s="1306">
        <v>0</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16</v>
      </c>
      <c r="D48" s="1306">
        <v>943266.27932309196</v>
      </c>
      <c r="E48" s="1306">
        <v>23</v>
      </c>
      <c r="F48" s="1306">
        <v>184131.6</v>
      </c>
    </row>
    <row r="49" spans="1:6">
      <c r="A49" s="1305" t="s">
        <v>31</v>
      </c>
      <c r="B49" s="1305" t="s">
        <v>39</v>
      </c>
      <c r="C49" s="1306">
        <v>0</v>
      </c>
      <c r="D49" s="1306">
        <v>0</v>
      </c>
      <c r="E49" s="1306">
        <v>0</v>
      </c>
      <c r="F49" s="1306">
        <v>0</v>
      </c>
    </row>
    <row r="50" spans="1:6">
      <c r="A50" s="1305" t="s">
        <v>31</v>
      </c>
      <c r="B50" s="1305" t="s">
        <v>40</v>
      </c>
      <c r="C50" s="1306">
        <v>3</v>
      </c>
      <c r="D50" s="1306">
        <v>195757.032655847</v>
      </c>
      <c r="E50" s="1306">
        <v>10</v>
      </c>
      <c r="F50" s="1306">
        <v>552107.5</v>
      </c>
    </row>
    <row r="51" spans="1:6">
      <c r="A51" s="1305" t="s">
        <v>41</v>
      </c>
      <c r="B51" s="1305" t="s">
        <v>42</v>
      </c>
      <c r="C51" s="1306">
        <v>3</v>
      </c>
      <c r="D51" s="1306">
        <v>73457.481135169495</v>
      </c>
      <c r="E51" s="1306">
        <v>104</v>
      </c>
      <c r="F51" s="1306">
        <v>2871886</v>
      </c>
    </row>
    <row r="52" spans="1:6">
      <c r="A52" s="1305" t="s">
        <v>41</v>
      </c>
      <c r="B52" s="1305" t="s">
        <v>28</v>
      </c>
      <c r="C52" s="1306">
        <v>0</v>
      </c>
      <c r="D52" s="1306">
        <v>0</v>
      </c>
      <c r="E52" s="1306">
        <v>3</v>
      </c>
      <c r="F52" s="1306">
        <v>68346.59</v>
      </c>
    </row>
    <row r="53" spans="1:6">
      <c r="A53" s="1305" t="s">
        <v>43</v>
      </c>
      <c r="B53" s="1305" t="s">
        <v>44</v>
      </c>
      <c r="C53" s="1306">
        <v>13</v>
      </c>
      <c r="D53" s="1306">
        <v>143399.412298179</v>
      </c>
      <c r="E53" s="1306">
        <v>53</v>
      </c>
      <c r="F53" s="1306">
        <v>389362.9</v>
      </c>
    </row>
    <row r="54" spans="1:6">
      <c r="A54" s="1305" t="s">
        <v>45</v>
      </c>
      <c r="B54" s="1305" t="s">
        <v>46</v>
      </c>
      <c r="C54" s="1306">
        <v>0</v>
      </c>
      <c r="D54" s="1306">
        <v>0</v>
      </c>
      <c r="E54" s="1306">
        <v>1</v>
      </c>
      <c r="F54" s="1306">
        <v>256363</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7</v>
      </c>
      <c r="D57" s="1306">
        <v>246852.97356295199</v>
      </c>
      <c r="E57" s="1306">
        <v>21</v>
      </c>
      <c r="F57" s="1306">
        <v>322436.7</v>
      </c>
    </row>
    <row r="58" spans="1:6">
      <c r="A58" s="1305" t="s">
        <v>48</v>
      </c>
      <c r="B58" s="1305" t="s">
        <v>50</v>
      </c>
      <c r="C58" s="1306">
        <v>0</v>
      </c>
      <c r="D58" s="1306">
        <v>0</v>
      </c>
      <c r="E58" s="1306">
        <v>0</v>
      </c>
      <c r="F58" s="1306">
        <v>0</v>
      </c>
    </row>
    <row r="59" spans="1:6">
      <c r="A59" s="1305" t="s">
        <v>48</v>
      </c>
      <c r="B59" s="1305" t="s">
        <v>51</v>
      </c>
      <c r="C59" s="1306">
        <v>7</v>
      </c>
      <c r="D59" s="1306">
        <v>583303.23484392604</v>
      </c>
      <c r="E59" s="1306">
        <v>32</v>
      </c>
      <c r="F59" s="1306">
        <v>691703.3</v>
      </c>
    </row>
    <row r="60" spans="1:6">
      <c r="A60" s="1305" t="s">
        <v>48</v>
      </c>
      <c r="B60" s="1305" t="s">
        <v>52</v>
      </c>
      <c r="C60" s="1306">
        <v>12</v>
      </c>
      <c r="D60" s="1306">
        <v>426097.08161938097</v>
      </c>
      <c r="E60" s="1306">
        <v>15</v>
      </c>
      <c r="F60" s="1306">
        <v>493512.4</v>
      </c>
    </row>
    <row r="61" spans="1:6">
      <c r="A61" s="1305" t="s">
        <v>48</v>
      </c>
      <c r="B61" s="1305" t="s">
        <v>53</v>
      </c>
      <c r="C61" s="1306">
        <v>12</v>
      </c>
      <c r="D61" s="1306">
        <v>384108.68296673399</v>
      </c>
      <c r="E61" s="1306">
        <v>16</v>
      </c>
      <c r="F61" s="1306">
        <v>133266.79999999999</v>
      </c>
    </row>
    <row r="62" spans="1:6">
      <c r="A62" s="1305" t="s">
        <v>48</v>
      </c>
      <c r="B62" s="1305" t="s">
        <v>54</v>
      </c>
      <c r="C62" s="1306">
        <v>3</v>
      </c>
      <c r="D62" s="1306">
        <v>199319.02390670299</v>
      </c>
      <c r="E62" s="1306">
        <v>4</v>
      </c>
      <c r="F62" s="1306">
        <v>59002.39</v>
      </c>
    </row>
    <row r="63" spans="1:6">
      <c r="A63" s="1305" t="s">
        <v>48</v>
      </c>
      <c r="B63" s="1305" t="s">
        <v>28</v>
      </c>
      <c r="C63" s="1306">
        <v>27</v>
      </c>
      <c r="D63" s="1306">
        <v>909582.80227862997</v>
      </c>
      <c r="E63" s="1306">
        <v>58</v>
      </c>
      <c r="F63" s="1306">
        <v>1283258</v>
      </c>
    </row>
    <row r="64" spans="1:6">
      <c r="A64" s="1305" t="s">
        <v>55</v>
      </c>
      <c r="B64" s="1305" t="s">
        <v>56</v>
      </c>
      <c r="C64" s="1306">
        <v>0</v>
      </c>
      <c r="D64" s="1306">
        <v>0</v>
      </c>
      <c r="E64" s="1306">
        <v>0</v>
      </c>
      <c r="F64" s="1306">
        <v>0</v>
      </c>
    </row>
    <row r="65" spans="1:6">
      <c r="A65" s="1305" t="s">
        <v>55</v>
      </c>
      <c r="B65" s="1305" t="s">
        <v>28</v>
      </c>
      <c r="C65" s="1306">
        <v>1</v>
      </c>
      <c r="D65" s="1306">
        <v>27210.509760464101</v>
      </c>
      <c r="E65" s="1306">
        <v>0</v>
      </c>
      <c r="F65" s="1306">
        <v>0</v>
      </c>
    </row>
    <row r="66" spans="1:6">
      <c r="A66" s="1305" t="s">
        <v>55</v>
      </c>
      <c r="B66" s="1305" t="s">
        <v>57</v>
      </c>
      <c r="C66" s="1306">
        <v>0</v>
      </c>
      <c r="D66" s="1306">
        <v>0</v>
      </c>
      <c r="E66" s="1306">
        <v>4</v>
      </c>
      <c r="F66" s="1306">
        <v>30773.05</v>
      </c>
    </row>
    <row r="67" spans="1:6">
      <c r="A67" s="1307" t="s">
        <v>55</v>
      </c>
      <c r="B67" s="1307" t="s">
        <v>58</v>
      </c>
      <c r="C67" s="1306">
        <v>0</v>
      </c>
      <c r="D67" s="1306">
        <v>0</v>
      </c>
      <c r="E67" s="1306">
        <v>0</v>
      </c>
      <c r="F67" s="1306">
        <v>0</v>
      </c>
    </row>
    <row r="68" spans="1:6">
      <c r="A68" s="1300" t="s">
        <v>55</v>
      </c>
      <c r="B68" s="1300" t="s">
        <v>59</v>
      </c>
      <c r="C68" s="1309">
        <v>0</v>
      </c>
      <c r="D68" s="1309">
        <v>0</v>
      </c>
      <c r="E68" s="1309">
        <v>6</v>
      </c>
      <c r="F68" s="1309">
        <v>61088.06</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34104530</v>
      </c>
      <c r="E73" s="450"/>
      <c r="F73" s="330"/>
    </row>
    <row r="74" spans="1:6">
      <c r="A74" s="1305" t="s">
        <v>63</v>
      </c>
      <c r="B74" s="1305" t="s">
        <v>710</v>
      </c>
      <c r="C74" s="1319" t="s">
        <v>712</v>
      </c>
      <c r="D74" s="1320">
        <v>2854736.6675698105</v>
      </c>
      <c r="E74" s="450"/>
      <c r="F74" s="330"/>
    </row>
    <row r="75" spans="1:6">
      <c r="A75" s="1305" t="s">
        <v>64</v>
      </c>
      <c r="B75" s="1305" t="s">
        <v>709</v>
      </c>
      <c r="C75" s="1319" t="s">
        <v>713</v>
      </c>
      <c r="D75" s="1320">
        <v>3177854</v>
      </c>
      <c r="E75" s="450"/>
      <c r="F75" s="330"/>
    </row>
    <row r="76" spans="1:6">
      <c r="A76" s="1305" t="s">
        <v>64</v>
      </c>
      <c r="B76" s="1305" t="s">
        <v>710</v>
      </c>
      <c r="C76" s="1319" t="s">
        <v>714</v>
      </c>
      <c r="D76" s="1320">
        <v>5886.6675698107319</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54070.664860378536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1224.1574450707064</v>
      </c>
      <c r="C91" s="330"/>
      <c r="D91" s="330"/>
      <c r="E91" s="330"/>
      <c r="F91" s="330"/>
    </row>
    <row r="92" spans="1:6">
      <c r="A92" s="1300" t="s">
        <v>68</v>
      </c>
      <c r="B92" s="1301">
        <v>951.08258310516055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316</v>
      </c>
      <c r="C97" s="330"/>
      <c r="D97" s="330"/>
      <c r="E97" s="330"/>
      <c r="F97" s="330"/>
    </row>
    <row r="98" spans="1:6">
      <c r="A98" s="1305" t="s">
        <v>71</v>
      </c>
      <c r="B98" s="1306">
        <v>0</v>
      </c>
      <c r="C98" s="330"/>
      <c r="D98" s="330"/>
      <c r="E98" s="330"/>
      <c r="F98" s="330"/>
    </row>
    <row r="99" spans="1:6">
      <c r="A99" s="1305" t="s">
        <v>72</v>
      </c>
      <c r="B99" s="1306">
        <v>83</v>
      </c>
      <c r="C99" s="330"/>
      <c r="D99" s="330"/>
      <c r="E99" s="330"/>
      <c r="F99" s="330"/>
    </row>
    <row r="100" spans="1:6">
      <c r="A100" s="1305" t="s">
        <v>73</v>
      </c>
      <c r="B100" s="1306">
        <v>97</v>
      </c>
      <c r="C100" s="330"/>
      <c r="D100" s="330"/>
      <c r="E100" s="330"/>
      <c r="F100" s="330"/>
    </row>
    <row r="101" spans="1:6">
      <c r="A101" s="1305" t="s">
        <v>74</v>
      </c>
      <c r="B101" s="1306">
        <v>61</v>
      </c>
      <c r="C101" s="330"/>
      <c r="D101" s="330"/>
      <c r="E101" s="330"/>
      <c r="F101" s="330"/>
    </row>
    <row r="102" spans="1:6">
      <c r="A102" s="1305" t="s">
        <v>75</v>
      </c>
      <c r="B102" s="1306">
        <v>25</v>
      </c>
      <c r="C102" s="330"/>
      <c r="D102" s="330"/>
      <c r="E102" s="330"/>
      <c r="F102" s="330"/>
    </row>
    <row r="103" spans="1:6">
      <c r="A103" s="1305" t="s">
        <v>76</v>
      </c>
      <c r="B103" s="1306">
        <v>127</v>
      </c>
      <c r="C103" s="330"/>
      <c r="D103" s="330"/>
      <c r="E103" s="330"/>
      <c r="F103" s="330"/>
    </row>
    <row r="104" spans="1:6">
      <c r="A104" s="1305" t="s">
        <v>77</v>
      </c>
      <c r="B104" s="1306">
        <v>593</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8</v>
      </c>
      <c r="C123" s="1306">
        <v>7</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50</v>
      </c>
      <c r="C129" s="330"/>
      <c r="D129" s="330"/>
      <c r="E129" s="330"/>
      <c r="F129" s="330"/>
    </row>
    <row r="130" spans="1:6">
      <c r="A130" s="1305" t="s">
        <v>294</v>
      </c>
      <c r="B130" s="1306">
        <v>1</v>
      </c>
      <c r="C130" s="330"/>
      <c r="D130" s="330"/>
      <c r="E130" s="330"/>
      <c r="F130" s="330"/>
    </row>
    <row r="131" spans="1:6">
      <c r="A131" s="1305" t="s">
        <v>295</v>
      </c>
      <c r="B131" s="1306">
        <v>1</v>
      </c>
      <c r="C131" s="330"/>
      <c r="D131" s="330"/>
      <c r="E131" s="330"/>
      <c r="F131" s="330"/>
    </row>
    <row r="132" spans="1:6">
      <c r="A132" s="1300" t="s">
        <v>296</v>
      </c>
      <c r="B132" s="1301">
        <v>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13906.244622865313</v>
      </c>
      <c r="C3" s="43" t="s">
        <v>169</v>
      </c>
      <c r="D3" s="43"/>
      <c r="E3" s="154"/>
      <c r="F3" s="43"/>
      <c r="G3" s="43"/>
      <c r="H3" s="43"/>
      <c r="I3" s="43"/>
      <c r="J3" s="43"/>
      <c r="K3" s="96"/>
    </row>
    <row r="4" spans="1:11">
      <c r="A4" s="359" t="s">
        <v>170</v>
      </c>
      <c r="B4" s="49">
        <f>IF(ISERROR('SEAP template'!B78+'SEAP template'!C78),0,'SEAP template'!B78+'SEAP template'!C78)</f>
        <v>9672.2400281758673</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6.7287397913871019E-2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10710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256.363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256.363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6.7287397913871019E-2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17.249999191393716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5243.7370000000001</v>
      </c>
      <c r="C5" s="17">
        <f>IF(ISERROR('Eigen informatie GS &amp; warmtenet'!B57),0,'Eigen informatie GS &amp; warmtenet'!B57)</f>
        <v>0</v>
      </c>
      <c r="D5" s="30">
        <f>(SUM(HH_hh_gas_kWh,HH_rest_gas_kWh)/1000)*0.902</f>
        <v>7708.1367891256677</v>
      </c>
      <c r="E5" s="17">
        <f>B46*B57</f>
        <v>10584.584122747448</v>
      </c>
      <c r="F5" s="17">
        <f>B51*B62</f>
        <v>7694.6817534720358</v>
      </c>
      <c r="G5" s="18"/>
      <c r="H5" s="17"/>
      <c r="I5" s="17"/>
      <c r="J5" s="17">
        <f>B50*B61+C50*C61</f>
        <v>2707.3305498093423</v>
      </c>
      <c r="K5" s="17"/>
      <c r="L5" s="17"/>
      <c r="M5" s="17"/>
      <c r="N5" s="17">
        <f>B48*B59+C48*C59</f>
        <v>5609.6402097561158</v>
      </c>
      <c r="O5" s="17">
        <f>B69*B70*B71</f>
        <v>89.11</v>
      </c>
      <c r="P5" s="17">
        <f>B77*B78*B79/1000-B77*B78*B79/1000/B80</f>
        <v>190.66666666666669</v>
      </c>
    </row>
    <row r="6" spans="1:16">
      <c r="A6" s="16" t="s">
        <v>630</v>
      </c>
      <c r="B6" s="763">
        <f>kWh_PV_kleiner_dan_10kW</f>
        <v>1224.1574450707064</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6467.8944450707068</v>
      </c>
      <c r="C8" s="21">
        <f>C5</f>
        <v>0</v>
      </c>
      <c r="D8" s="21">
        <f>D5</f>
        <v>7708.1367891256677</v>
      </c>
      <c r="E8" s="21">
        <f>E5</f>
        <v>10584.584122747448</v>
      </c>
      <c r="F8" s="21">
        <f>F5</f>
        <v>7694.6817534720358</v>
      </c>
      <c r="G8" s="21"/>
      <c r="H8" s="21"/>
      <c r="I8" s="21"/>
      <c r="J8" s="21">
        <f>J5</f>
        <v>2707.3305498093423</v>
      </c>
      <c r="K8" s="21"/>
      <c r="L8" s="21">
        <f>L5</f>
        <v>0</v>
      </c>
      <c r="M8" s="21">
        <f>M5</f>
        <v>0</v>
      </c>
      <c r="N8" s="21">
        <f>N5</f>
        <v>5609.6402097561158</v>
      </c>
      <c r="O8" s="21">
        <f>O5</f>
        <v>89.11</v>
      </c>
      <c r="P8" s="21">
        <f>P5</f>
        <v>190.66666666666669</v>
      </c>
    </row>
    <row r="9" spans="1:16">
      <c r="B9" s="19"/>
      <c r="C9" s="19"/>
      <c r="D9" s="258"/>
      <c r="E9" s="19"/>
      <c r="F9" s="19"/>
      <c r="G9" s="19"/>
      <c r="H9" s="19"/>
      <c r="I9" s="19"/>
      <c r="J9" s="19"/>
      <c r="K9" s="19"/>
      <c r="L9" s="19"/>
      <c r="M9" s="19"/>
      <c r="N9" s="19"/>
      <c r="O9" s="19"/>
      <c r="P9" s="19"/>
    </row>
    <row r="10" spans="1:16">
      <c r="A10" s="24" t="s">
        <v>213</v>
      </c>
      <c r="B10" s="25">
        <f ca="1">'EF ele_warmte'!B12</f>
        <v>6.7287397913871019E-2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435.20778719038861</v>
      </c>
      <c r="C12" s="23">
        <f ca="1">C10*C8</f>
        <v>0</v>
      </c>
      <c r="D12" s="23">
        <f>D8*D10</f>
        <v>1557.043631403385</v>
      </c>
      <c r="E12" s="23">
        <f>E10*E8</f>
        <v>2402.700595863671</v>
      </c>
      <c r="F12" s="23">
        <f>F10*F8</f>
        <v>2054.4800281770335</v>
      </c>
      <c r="G12" s="23"/>
      <c r="H12" s="23"/>
      <c r="I12" s="23"/>
      <c r="J12" s="23">
        <f>J10*J8</f>
        <v>958.39501463250713</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316</v>
      </c>
      <c r="C18" s="166" t="s">
        <v>110</v>
      </c>
      <c r="D18" s="228"/>
      <c r="E18" s="15"/>
    </row>
    <row r="19" spans="1:7">
      <c r="A19" s="171" t="s">
        <v>71</v>
      </c>
      <c r="B19" s="37">
        <f>aantalw2001_ander</f>
        <v>0</v>
      </c>
      <c r="C19" s="166" t="s">
        <v>110</v>
      </c>
      <c r="D19" s="229"/>
      <c r="E19" s="15"/>
    </row>
    <row r="20" spans="1:7">
      <c r="A20" s="171" t="s">
        <v>72</v>
      </c>
      <c r="B20" s="37">
        <f>aantalw2001_propaan</f>
        <v>83</v>
      </c>
      <c r="C20" s="167">
        <f>IF(ISERROR(B20/SUM($B$20,$B$21,$B$22)*100),0,B20/SUM($B$20,$B$21,$B$22)*100)</f>
        <v>34.439834024896264</v>
      </c>
      <c r="D20" s="229"/>
      <c r="E20" s="15"/>
    </row>
    <row r="21" spans="1:7">
      <c r="A21" s="171" t="s">
        <v>73</v>
      </c>
      <c r="B21" s="37">
        <f>aantalw2001_elektriciteit</f>
        <v>97</v>
      </c>
      <c r="C21" s="167">
        <f>IF(ISERROR(B21/SUM($B$20,$B$21,$B$22)*100),0,B21/SUM($B$20,$B$21,$B$22)*100)</f>
        <v>40.248962655601659</v>
      </c>
      <c r="D21" s="229"/>
      <c r="E21" s="15"/>
    </row>
    <row r="22" spans="1:7">
      <c r="A22" s="171" t="s">
        <v>74</v>
      </c>
      <c r="B22" s="37">
        <f>aantalw2001_hout</f>
        <v>61</v>
      </c>
      <c r="C22" s="167">
        <f>IF(ISERROR(B22/SUM($B$20,$B$21,$B$22)*100),0,B22/SUM($B$20,$B$21,$B$22)*100)</f>
        <v>25.311203319502074</v>
      </c>
      <c r="D22" s="229"/>
      <c r="E22" s="15"/>
    </row>
    <row r="23" spans="1:7">
      <c r="A23" s="171" t="s">
        <v>75</v>
      </c>
      <c r="B23" s="37">
        <f>aantalw2001_niet_gespec</f>
        <v>25</v>
      </c>
      <c r="C23" s="166" t="s">
        <v>110</v>
      </c>
      <c r="D23" s="228"/>
      <c r="E23" s="15"/>
    </row>
    <row r="24" spans="1:7">
      <c r="A24" s="171" t="s">
        <v>76</v>
      </c>
      <c r="B24" s="37">
        <f>aantalw2001_steenkool</f>
        <v>127</v>
      </c>
      <c r="C24" s="166" t="s">
        <v>110</v>
      </c>
      <c r="D24" s="229"/>
      <c r="E24" s="15"/>
    </row>
    <row r="25" spans="1:7">
      <c r="A25" s="171" t="s">
        <v>77</v>
      </c>
      <c r="B25" s="37">
        <f>aantalw2001_stookolie</f>
        <v>593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1431</v>
      </c>
      <c r="C28" s="36"/>
      <c r="D28" s="228"/>
    </row>
    <row r="29" spans="1:7" s="15" customFormat="1">
      <c r="A29" s="230" t="s">
        <v>737</v>
      </c>
      <c r="B29" s="37">
        <f>SUM(HH_hh_gas_aantal,HH_rest_gas_aantal)</f>
        <v>593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593</v>
      </c>
      <c r="C32" s="167">
        <f>IF(ISERROR(B32/SUM($B$32,$B$34,$B$35,$B$36,$B$38,$B$39)*100),0,B32/SUM($B$32,$B$34,$B$35,$B$36,$B$38,$B$39)*100)</f>
        <v>41.731175228712175</v>
      </c>
      <c r="D32" s="233"/>
      <c r="G32" s="15"/>
    </row>
    <row r="33" spans="1:7">
      <c r="A33" s="171" t="s">
        <v>71</v>
      </c>
      <c r="B33" s="34" t="s">
        <v>110</v>
      </c>
      <c r="C33" s="167"/>
      <c r="D33" s="233"/>
      <c r="G33" s="15"/>
    </row>
    <row r="34" spans="1:7">
      <c r="A34" s="171" t="s">
        <v>72</v>
      </c>
      <c r="B34" s="33">
        <f>IF((($B$28-$B$32-$B$39-$B$77-$B$38)*C20/100)&lt;0,0,($B$28-$B$32-$B$39-$B$77-$B$38)*C20/100)</f>
        <v>132.59336099585062</v>
      </c>
      <c r="C34" s="167">
        <f>IF(ISERROR(B34/SUM($B$32,$B$34,$B$35,$B$36,$B$38,$B$39)*100),0,B34/SUM($B$32,$B$34,$B$35,$B$36,$B$38,$B$39)*100)</f>
        <v>9.3309895141344548</v>
      </c>
      <c r="D34" s="233"/>
      <c r="G34" s="15"/>
    </row>
    <row r="35" spans="1:7">
      <c r="A35" s="171" t="s">
        <v>73</v>
      </c>
      <c r="B35" s="33">
        <f>IF((($B$28-$B$32-$B$39-$B$77-$B$38)*C21/100)&lt;0,0,($B$28-$B$32-$B$39-$B$77-$B$38)*C21/100)</f>
        <v>154.95850622406638</v>
      </c>
      <c r="C35" s="167">
        <f>IF(ISERROR(B35/SUM($B$32,$B$34,$B$35,$B$36,$B$38,$B$39)*100),0,B35/SUM($B$32,$B$34,$B$35,$B$36,$B$38,$B$39)*100)</f>
        <v>10.904891359892074</v>
      </c>
      <c r="D35" s="233"/>
      <c r="G35" s="15"/>
    </row>
    <row r="36" spans="1:7">
      <c r="A36" s="171" t="s">
        <v>74</v>
      </c>
      <c r="B36" s="33">
        <f>IF((($B$28-$B$32-$B$39-$B$77-$B$38)*C22/100)&lt;0,0,($B$28-$B$32-$B$39-$B$77-$B$38)*C22/100)</f>
        <v>97.448132780082972</v>
      </c>
      <c r="C36" s="167">
        <f>IF(ISERROR(B36/SUM($B$32,$B$34,$B$35,$B$36,$B$38,$B$39)*100),0,B36/SUM($B$32,$B$34,$B$35,$B$36,$B$38,$B$39)*100)</f>
        <v>6.8577151850867688</v>
      </c>
      <c r="D36" s="233"/>
      <c r="G36" s="15"/>
    </row>
    <row r="37" spans="1:7">
      <c r="A37" s="171" t="s">
        <v>75</v>
      </c>
      <c r="B37" s="34" t="s">
        <v>110</v>
      </c>
      <c r="C37" s="167"/>
      <c r="D37" s="173"/>
      <c r="G37" s="15"/>
    </row>
    <row r="38" spans="1:7">
      <c r="A38" s="171" t="s">
        <v>76</v>
      </c>
      <c r="B38" s="33">
        <f>IF((B24-(B29-B18)*0.1)&lt;0,0,B24-(B29-B18)*0.1)</f>
        <v>99.3</v>
      </c>
      <c r="C38" s="167">
        <f>IF(ISERROR(B38/SUM($B$32,$B$34,$B$35,$B$36,$B$38,$B$39)*100),0,B38/SUM($B$32,$B$34,$B$35,$B$36,$B$38,$B$39)*100)</f>
        <v>6.9880365939479248</v>
      </c>
      <c r="D38" s="234"/>
      <c r="G38" s="15"/>
    </row>
    <row r="39" spans="1:7">
      <c r="A39" s="171" t="s">
        <v>77</v>
      </c>
      <c r="B39" s="33">
        <f>IF((B25-(B29-B18))&lt;0,0,B25-(B29-B18)*0.9)</f>
        <v>343.7</v>
      </c>
      <c r="C39" s="167">
        <f>IF(ISERROR(B39/SUM($B$32,$B$34,$B$35,$B$36,$B$38,$B$39)*100),0,B39/SUM($B$32,$B$34,$B$35,$B$36,$B$38,$B$39)*100)</f>
        <v>24.187192118226601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593</v>
      </c>
      <c r="C44" s="34" t="s">
        <v>110</v>
      </c>
      <c r="D44" s="174"/>
    </row>
    <row r="45" spans="1:7">
      <c r="A45" s="171" t="s">
        <v>71</v>
      </c>
      <c r="B45" s="33" t="str">
        <f t="shared" si="0"/>
        <v>-</v>
      </c>
      <c r="C45" s="34" t="s">
        <v>110</v>
      </c>
      <c r="D45" s="174"/>
    </row>
    <row r="46" spans="1:7">
      <c r="A46" s="171" t="s">
        <v>72</v>
      </c>
      <c r="B46" s="33">
        <f t="shared" si="0"/>
        <v>132.59336099585062</v>
      </c>
      <c r="C46" s="34" t="s">
        <v>110</v>
      </c>
      <c r="D46" s="174"/>
    </row>
    <row r="47" spans="1:7">
      <c r="A47" s="171" t="s">
        <v>73</v>
      </c>
      <c r="B47" s="33">
        <f t="shared" si="0"/>
        <v>154.95850622406638</v>
      </c>
      <c r="C47" s="34" t="s">
        <v>110</v>
      </c>
      <c r="D47" s="174"/>
    </row>
    <row r="48" spans="1:7">
      <c r="A48" s="171" t="s">
        <v>74</v>
      </c>
      <c r="B48" s="33">
        <f t="shared" si="0"/>
        <v>97.448132780082972</v>
      </c>
      <c r="C48" s="33">
        <f>B48*10</f>
        <v>974.48132780082972</v>
      </c>
      <c r="D48" s="234"/>
    </row>
    <row r="49" spans="1:6">
      <c r="A49" s="171" t="s">
        <v>75</v>
      </c>
      <c r="B49" s="33" t="str">
        <f t="shared" si="0"/>
        <v>-</v>
      </c>
      <c r="C49" s="34" t="s">
        <v>110</v>
      </c>
      <c r="D49" s="234"/>
    </row>
    <row r="50" spans="1:6">
      <c r="A50" s="171" t="s">
        <v>76</v>
      </c>
      <c r="B50" s="33">
        <f t="shared" si="0"/>
        <v>99.3</v>
      </c>
      <c r="C50" s="33">
        <f>B50*2</f>
        <v>198.6</v>
      </c>
      <c r="D50" s="234"/>
    </row>
    <row r="51" spans="1:6">
      <c r="A51" s="171" t="s">
        <v>77</v>
      </c>
      <c r="B51" s="33">
        <f t="shared" si="0"/>
        <v>343.7</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57</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2983.1795900000002</v>
      </c>
      <c r="C5" s="17">
        <f>IF(ISERROR('Eigen informatie GS &amp; warmtenet'!B58),0,'Eigen informatie GS &amp; warmtenet'!B58)</f>
        <v>0</v>
      </c>
      <c r="D5" s="30">
        <f>SUM(D6:D12)</f>
        <v>2479.8359468588496</v>
      </c>
      <c r="E5" s="17">
        <f>SUM(E6:E12)</f>
        <v>41.279756855376888</v>
      </c>
      <c r="F5" s="17">
        <f>SUM(F6:F12)</f>
        <v>487.29775559552775</v>
      </c>
      <c r="G5" s="18"/>
      <c r="H5" s="17"/>
      <c r="I5" s="17"/>
      <c r="J5" s="17">
        <f>SUM(J6:J12)</f>
        <v>0</v>
      </c>
      <c r="K5" s="17"/>
      <c r="L5" s="17"/>
      <c r="M5" s="17"/>
      <c r="N5" s="17">
        <f>SUM(N6:N12)</f>
        <v>343.70185777351958</v>
      </c>
      <c r="O5" s="17">
        <f>B38*B39*B40</f>
        <v>1.5633333333333335</v>
      </c>
      <c r="P5" s="17">
        <f>B46*B47*B48/1000-B46*B47*B48/1000/B49</f>
        <v>19.066666666666666</v>
      </c>
      <c r="R5" s="32"/>
    </row>
    <row r="6" spans="1:18">
      <c r="A6" s="32" t="s">
        <v>53</v>
      </c>
      <c r="B6" s="37">
        <f>B26</f>
        <v>133.26679999999999</v>
      </c>
      <c r="C6" s="33"/>
      <c r="D6" s="37">
        <f>IF(ISERROR(TER_kantoor_gas_kWh/1000),0,TER_kantoor_gas_kWh/1000)*0.902</f>
        <v>346.46603203599403</v>
      </c>
      <c r="E6" s="33">
        <f>$C$26*'E Balans VL '!I12/100/3.6*1000000</f>
        <v>0.38609347261203231</v>
      </c>
      <c r="F6" s="33">
        <f>$C$26*('E Balans VL '!L12+'E Balans VL '!N12)/100/3.6*1000000</f>
        <v>15.082865664753648</v>
      </c>
      <c r="G6" s="34"/>
      <c r="H6" s="33"/>
      <c r="I6" s="33"/>
      <c r="J6" s="33">
        <f>$C$26*('E Balans VL '!D12+'E Balans VL '!E12)/100/3.6*1000000</f>
        <v>0</v>
      </c>
      <c r="K6" s="33"/>
      <c r="L6" s="33"/>
      <c r="M6" s="33"/>
      <c r="N6" s="33">
        <f>$C$26*'E Balans VL '!Y12/100/3.6*1000000</f>
        <v>1.3339024726374578</v>
      </c>
      <c r="O6" s="33"/>
      <c r="P6" s="33"/>
      <c r="R6" s="32"/>
    </row>
    <row r="7" spans="1:18">
      <c r="A7" s="32" t="s">
        <v>52</v>
      </c>
      <c r="B7" s="37">
        <f t="shared" ref="B7:B12" si="0">B27</f>
        <v>493.51240000000001</v>
      </c>
      <c r="C7" s="33"/>
      <c r="D7" s="37">
        <f>IF(ISERROR(TER_horeca_gas_kWh/1000),0,TER_horeca_gas_kWh/1000)*0.902</f>
        <v>384.33956762068163</v>
      </c>
      <c r="E7" s="33">
        <f>$C$27*'E Balans VL '!I9/100/3.6*1000000</f>
        <v>20.716271705605692</v>
      </c>
      <c r="F7" s="33">
        <f>$C$27*('E Balans VL '!L9+'E Balans VL '!N9)/100/3.6*1000000</f>
        <v>106.04125956493345</v>
      </c>
      <c r="G7" s="34"/>
      <c r="H7" s="33"/>
      <c r="I7" s="33"/>
      <c r="J7" s="33">
        <f>$C$27*('E Balans VL '!D9+'E Balans VL '!E9)/100/3.6*1000000</f>
        <v>0</v>
      </c>
      <c r="K7" s="33"/>
      <c r="L7" s="33"/>
      <c r="M7" s="33"/>
      <c r="N7" s="33">
        <f>$C$27*'E Balans VL '!Y9/100/3.6*1000000</f>
        <v>0.12717382955749193</v>
      </c>
      <c r="O7" s="33"/>
      <c r="P7" s="33"/>
      <c r="R7" s="32"/>
    </row>
    <row r="8" spans="1:18">
      <c r="A8" s="6" t="s">
        <v>51</v>
      </c>
      <c r="B8" s="37">
        <f t="shared" si="0"/>
        <v>691.70330000000001</v>
      </c>
      <c r="C8" s="33"/>
      <c r="D8" s="37">
        <f>IF(ISERROR(TER_handel_gas_kWh/1000),0,TER_handel_gas_kWh/1000)*0.902</f>
        <v>526.13951782922129</v>
      </c>
      <c r="E8" s="33">
        <f>$C$28*'E Balans VL '!I13/100/3.6*1000000</f>
        <v>7.4294691302917348</v>
      </c>
      <c r="F8" s="33">
        <f>$C$28*('E Balans VL '!L13+'E Balans VL '!N13)/100/3.6*1000000</f>
        <v>89.546704153100364</v>
      </c>
      <c r="G8" s="34"/>
      <c r="H8" s="33"/>
      <c r="I8" s="33"/>
      <c r="J8" s="33">
        <f>$C$28*('E Balans VL '!D13+'E Balans VL '!E13)/100/3.6*1000000</f>
        <v>0</v>
      </c>
      <c r="K8" s="33"/>
      <c r="L8" s="33"/>
      <c r="M8" s="33"/>
      <c r="N8" s="33">
        <f>$C$28*'E Balans VL '!Y13/100/3.6*1000000</f>
        <v>5.6111349382423432</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322.43670000000003</v>
      </c>
      <c r="C10" s="33"/>
      <c r="D10" s="37">
        <f>IF(ISERROR(TER_ander_gas_kWh/1000),0,TER_ander_gas_kWh/1000)*0.902</f>
        <v>222.66138215378268</v>
      </c>
      <c r="E10" s="33">
        <f>$C$30*'E Balans VL '!I14/100/3.6*1000000</f>
        <v>1.1050075095529206</v>
      </c>
      <c r="F10" s="33">
        <f>$C$30*('E Balans VL '!L14+'E Balans VL '!N14)/100/3.6*1000000</f>
        <v>72.019256495915243</v>
      </c>
      <c r="G10" s="34"/>
      <c r="H10" s="33"/>
      <c r="I10" s="33"/>
      <c r="J10" s="33">
        <f>$C$30*('E Balans VL '!D14+'E Balans VL '!E14)/100/3.6*1000000</f>
        <v>0</v>
      </c>
      <c r="K10" s="33"/>
      <c r="L10" s="33"/>
      <c r="M10" s="33"/>
      <c r="N10" s="33">
        <f>$C$30*'E Balans VL '!Y14/100/3.6*1000000</f>
        <v>227.12617291726079</v>
      </c>
      <c r="O10" s="33"/>
      <c r="P10" s="33"/>
      <c r="R10" s="32"/>
    </row>
    <row r="11" spans="1:18">
      <c r="A11" s="32" t="s">
        <v>54</v>
      </c>
      <c r="B11" s="37">
        <f t="shared" si="0"/>
        <v>59.002389999999998</v>
      </c>
      <c r="C11" s="33"/>
      <c r="D11" s="37">
        <f>IF(ISERROR(TER_onderwijs_gas_kWh/1000),0,TER_onderwijs_gas_kWh/1000)*0.902</f>
        <v>179.78575956384611</v>
      </c>
      <c r="E11" s="33">
        <f>$C$31*'E Balans VL '!I11/100/3.6*1000000</f>
        <v>4.0786535076398428E-2</v>
      </c>
      <c r="F11" s="33">
        <f>$C$31*('E Balans VL '!L11+'E Balans VL '!N11)/100/3.6*1000000</f>
        <v>15.445111798861619</v>
      </c>
      <c r="G11" s="34"/>
      <c r="H11" s="33"/>
      <c r="I11" s="33"/>
      <c r="J11" s="33">
        <f>$C$31*('E Balans VL '!D11+'E Balans VL '!E11)/100/3.6*1000000</f>
        <v>0</v>
      </c>
      <c r="K11" s="33"/>
      <c r="L11" s="33"/>
      <c r="M11" s="33"/>
      <c r="N11" s="33">
        <f>$C$31*'E Balans VL '!Y11/100/3.6*1000000</f>
        <v>5.8731853813444979E-2</v>
      </c>
      <c r="O11" s="33"/>
      <c r="P11" s="33"/>
      <c r="R11" s="32"/>
    </row>
    <row r="12" spans="1:18">
      <c r="A12" s="32" t="s">
        <v>259</v>
      </c>
      <c r="B12" s="37">
        <f t="shared" si="0"/>
        <v>1283.258</v>
      </c>
      <c r="C12" s="33"/>
      <c r="D12" s="37">
        <f>IF(ISERROR(TER_rest_gas_kWh/1000),0,TER_rest_gas_kWh/1000)*0.902</f>
        <v>820.44368765532431</v>
      </c>
      <c r="E12" s="33">
        <f>$C$32*'E Balans VL '!I8/100/3.6*1000000</f>
        <v>11.602128502238108</v>
      </c>
      <c r="F12" s="33">
        <f>$C$32*('E Balans VL '!L8+'E Balans VL '!N8)/100/3.6*1000000</f>
        <v>189.16255791796343</v>
      </c>
      <c r="G12" s="34"/>
      <c r="H12" s="33"/>
      <c r="I12" s="33"/>
      <c r="J12" s="33">
        <f>$C$32*('E Balans VL '!D8+'E Balans VL '!E8)/100/3.6*1000000</f>
        <v>0</v>
      </c>
      <c r="K12" s="33"/>
      <c r="L12" s="33"/>
      <c r="M12" s="33"/>
      <c r="N12" s="33">
        <f>$C$32*'E Balans VL '!Y8/100/3.6*1000000</f>
        <v>109.44474176200808</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2983.1795900000002</v>
      </c>
      <c r="C16" s="21">
        <f t="shared" ca="1" si="1"/>
        <v>0</v>
      </c>
      <c r="D16" s="21">
        <f t="shared" ca="1" si="1"/>
        <v>2479.8359468588496</v>
      </c>
      <c r="E16" s="21">
        <f t="shared" si="1"/>
        <v>41.279756855376888</v>
      </c>
      <c r="F16" s="21">
        <f t="shared" ca="1" si="1"/>
        <v>487.29775559552775</v>
      </c>
      <c r="G16" s="21">
        <f t="shared" si="1"/>
        <v>0</v>
      </c>
      <c r="H16" s="21">
        <f t="shared" si="1"/>
        <v>0</v>
      </c>
      <c r="I16" s="21">
        <f t="shared" si="1"/>
        <v>0</v>
      </c>
      <c r="J16" s="21">
        <f t="shared" si="1"/>
        <v>0</v>
      </c>
      <c r="K16" s="21">
        <f t="shared" si="1"/>
        <v>0</v>
      </c>
      <c r="L16" s="21">
        <f t="shared" ca="1" si="1"/>
        <v>0</v>
      </c>
      <c r="M16" s="21">
        <f t="shared" si="1"/>
        <v>0</v>
      </c>
      <c r="N16" s="21">
        <f t="shared" ca="1" si="1"/>
        <v>343.70185777351958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6.7287397913871019E-2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200.73039212086863</v>
      </c>
      <c r="C20" s="23">
        <f t="shared" ref="C20:P20" ca="1" si="2">C16*C18</f>
        <v>0</v>
      </c>
      <c r="D20" s="23">
        <f t="shared" ca="1" si="2"/>
        <v>500.92686126548767</v>
      </c>
      <c r="E20" s="23">
        <f t="shared" si="2"/>
        <v>9.3705048061705547</v>
      </c>
      <c r="F20" s="23">
        <f t="shared" ca="1" si="2"/>
        <v>130.10850074400591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133.26679999999999</v>
      </c>
      <c r="C26" s="39">
        <f>IF(ISERROR(B26*3.6/1000000/'E Balans VL '!Z12*100),0,B26*3.6/1000000/'E Balans VL '!Z12*100)</f>
        <v>2.9273593338491298E-3</v>
      </c>
      <c r="D26" s="237" t="s">
        <v>691</v>
      </c>
      <c r="F26" s="6"/>
    </row>
    <row r="27" spans="1:18">
      <c r="A27" s="231" t="s">
        <v>52</v>
      </c>
      <c r="B27" s="33">
        <f>IF(ISERROR(TER_horeca_ele_kWh/1000),0,TER_horeca_ele_kWh/1000)</f>
        <v>493.51240000000001</v>
      </c>
      <c r="C27" s="39">
        <f>IF(ISERROR(B27*3.6/1000000/'E Balans VL '!Z9*100),0,B27*3.6/1000000/'E Balans VL '!Z9*100)</f>
        <v>3.9658640729706506E-2</v>
      </c>
      <c r="D27" s="237" t="s">
        <v>691</v>
      </c>
      <c r="F27" s="6"/>
    </row>
    <row r="28" spans="1:18">
      <c r="A28" s="171" t="s">
        <v>51</v>
      </c>
      <c r="B28" s="33">
        <f>IF(ISERROR(TER_handel_ele_kWh/1000),0,TER_handel_ele_kWh/1000)</f>
        <v>691.70330000000001</v>
      </c>
      <c r="C28" s="39">
        <f>IF(ISERROR(B28*3.6/1000000/'E Balans VL '!Z13*100),0,B28*3.6/1000000/'E Balans VL '!Z13*100)</f>
        <v>2.0453183346928361E-2</v>
      </c>
      <c r="D28" s="237" t="s">
        <v>691</v>
      </c>
      <c r="F28" s="6"/>
    </row>
    <row r="29" spans="1:18">
      <c r="A29" s="231" t="s">
        <v>50</v>
      </c>
      <c r="B29" s="33">
        <f>IF(ISERROR(TER_gezond_ele_kWh/1000),0,TER_gezond_ele_kWh/1000)</f>
        <v>0</v>
      </c>
      <c r="C29" s="39">
        <f>IF(ISERROR(B29*3.6/1000000/'E Balans VL '!Z10*100),0,B29*3.6/1000000/'E Balans VL '!Z10*100)</f>
        <v>0</v>
      </c>
      <c r="D29" s="237" t="s">
        <v>691</v>
      </c>
      <c r="F29" s="6"/>
    </row>
    <row r="30" spans="1:18">
      <c r="A30" s="231" t="s">
        <v>49</v>
      </c>
      <c r="B30" s="33">
        <f>IF(ISERROR(TER_ander_ele_kWh/1000),0,TER_ander_ele_kWh/1000)</f>
        <v>322.43670000000003</v>
      </c>
      <c r="C30" s="39">
        <f>IF(ISERROR(B30*3.6/1000000/'E Balans VL '!Z14*100),0,B30*3.6/1000000/'E Balans VL '!Z14*100)</f>
        <v>2.4385336440358219E-2</v>
      </c>
      <c r="D30" s="237" t="s">
        <v>691</v>
      </c>
      <c r="F30" s="6"/>
    </row>
    <row r="31" spans="1:18">
      <c r="A31" s="231" t="s">
        <v>54</v>
      </c>
      <c r="B31" s="33">
        <f>IF(ISERROR(TER_onderwijs_ele_kWh/1000),0,TER_onderwijs_ele_kWh/1000)</f>
        <v>59.002389999999998</v>
      </c>
      <c r="C31" s="39">
        <f>IF(ISERROR(B31*3.6/1000000/'E Balans VL '!Z11*100),0,B31*3.6/1000000/'E Balans VL '!Z11*100)</f>
        <v>1.2247526482317165E-2</v>
      </c>
      <c r="D31" s="237" t="s">
        <v>691</v>
      </c>
    </row>
    <row r="32" spans="1:18">
      <c r="A32" s="231" t="s">
        <v>259</v>
      </c>
      <c r="B32" s="33">
        <f>IF(ISERROR(TER_rest_ele_kWh/1000),0,TER_rest_ele_kWh/1000)</f>
        <v>1283.258</v>
      </c>
      <c r="C32" s="39">
        <f>IF(ISERROR(B32*3.6/1000000/'E Balans VL '!Z8*100),0,B32*3.6/1000000/'E Balans VL '!Z8*100)</f>
        <v>1.0810693734883529E-2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864.99389999999994</v>
      </c>
      <c r="C5" s="17">
        <f>IF(ISERROR('Eigen informatie GS &amp; warmtenet'!B59),0,'Eigen informatie GS &amp; warmtenet'!B59)</f>
        <v>0</v>
      </c>
      <c r="D5" s="30">
        <f>SUM(D6:D15)</f>
        <v>1061.1033788926629</v>
      </c>
      <c r="E5" s="17">
        <f>SUM(E6:E15)</f>
        <v>50.398068124922276</v>
      </c>
      <c r="F5" s="17">
        <f>SUM(F6:F15)</f>
        <v>1186.3793211916698</v>
      </c>
      <c r="G5" s="18"/>
      <c r="H5" s="17"/>
      <c r="I5" s="17"/>
      <c r="J5" s="17">
        <f>SUM(J6:J15)</f>
        <v>13.986231870792384</v>
      </c>
      <c r="K5" s="17"/>
      <c r="L5" s="17"/>
      <c r="M5" s="17"/>
      <c r="N5" s="17">
        <f>SUM(N6:N15)</f>
        <v>311.4277519067391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128.75479999999999</v>
      </c>
      <c r="C9" s="33"/>
      <c r="D9" s="37">
        <f>IF( ISERROR(IND_andere_gas_kWh/1000),0,IND_andere_gas_kWh/1000)*0.902</f>
        <v>33.704351487660013</v>
      </c>
      <c r="E9" s="33">
        <f>C31*'E Balans VL '!I19/100/3.6*1000000</f>
        <v>35.402289114719977</v>
      </c>
      <c r="F9" s="33">
        <f>C31*'E Balans VL '!L19/100/3.6*1000000+C31*'E Balans VL '!N19/100/3.6*1000000</f>
        <v>101.48118734382923</v>
      </c>
      <c r="G9" s="34"/>
      <c r="H9" s="33"/>
      <c r="I9" s="33"/>
      <c r="J9" s="40">
        <f>C31*'E Balans VL '!D19/100/3.6*1000000+C31*'E Balans VL '!E19/100/3.6*1000000</f>
        <v>0</v>
      </c>
      <c r="K9" s="33"/>
      <c r="L9" s="33"/>
      <c r="M9" s="33"/>
      <c r="N9" s="33">
        <f>C31*'E Balans VL '!Y19/100/3.6*1000000</f>
        <v>10.372567823541903</v>
      </c>
      <c r="O9" s="33"/>
      <c r="P9" s="33"/>
      <c r="R9" s="32"/>
    </row>
    <row r="10" spans="1:18">
      <c r="A10" s="6" t="s">
        <v>40</v>
      </c>
      <c r="B10" s="37">
        <f t="shared" si="0"/>
        <v>552.10749999999996</v>
      </c>
      <c r="C10" s="33"/>
      <c r="D10" s="37">
        <f>IF( ISERROR(IND_voed_gas_kWh/1000),0,IND_voed_gas_kWh/1000)*0.902</f>
        <v>176.57284345557397</v>
      </c>
      <c r="E10" s="33">
        <f>C32*'E Balans VL '!I20/100/3.6*1000000</f>
        <v>5.6284318047427186</v>
      </c>
      <c r="F10" s="33">
        <f>C32*'E Balans VL '!L20/100/3.6*1000000+C32*'E Balans VL '!N20/100/3.6*1000000</f>
        <v>1042.9276144009184</v>
      </c>
      <c r="G10" s="34"/>
      <c r="H10" s="33"/>
      <c r="I10" s="33"/>
      <c r="J10" s="40">
        <f>C32*'E Balans VL '!D20/100/3.6*1000000+C32*'E Balans VL '!E20/100/3.6*1000000</f>
        <v>13.21373897891876</v>
      </c>
      <c r="K10" s="33"/>
      <c r="L10" s="33"/>
      <c r="M10" s="33"/>
      <c r="N10" s="33">
        <f>C32*'E Balans VL '!Y20/100/3.6*1000000</f>
        <v>291.02424748575601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184.13159999999999</v>
      </c>
      <c r="C15" s="33"/>
      <c r="D15" s="37">
        <f>IF( ISERROR(IND_rest_gas_kWh/1000),0,IND_rest_gas_kWh/1000)*0.902</f>
        <v>850.82618394942892</v>
      </c>
      <c r="E15" s="33">
        <f>C37*'E Balans VL '!I15/100/3.6*1000000</f>
        <v>9.3673472054595788</v>
      </c>
      <c r="F15" s="33">
        <f>C37*'E Balans VL '!L15/100/3.6*1000000+C37*'E Balans VL '!N15/100/3.6*1000000</f>
        <v>41.970519446922054</v>
      </c>
      <c r="G15" s="34"/>
      <c r="H15" s="33"/>
      <c r="I15" s="33"/>
      <c r="J15" s="40">
        <f>C37*'E Balans VL '!D15/100/3.6*1000000+C37*'E Balans VL '!E15/100/3.6*1000000</f>
        <v>0.77249289187362435</v>
      </c>
      <c r="K15" s="33"/>
      <c r="L15" s="33"/>
      <c r="M15" s="33"/>
      <c r="N15" s="33">
        <f>C37*'E Balans VL '!Y15/100/3.6*1000000</f>
        <v>10.030936597441231</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864.99389999999994</v>
      </c>
      <c r="C18" s="21">
        <f>C5+C16</f>
        <v>0</v>
      </c>
      <c r="D18" s="21">
        <f>MAX((D5+D16),0)</f>
        <v>1061.1033788926629</v>
      </c>
      <c r="E18" s="21">
        <f>MAX((E5+E16),0)</f>
        <v>50.398068124922276</v>
      </c>
      <c r="F18" s="21">
        <f>MAX((F5+F16),0)</f>
        <v>1186.3793211916698</v>
      </c>
      <c r="G18" s="21"/>
      <c r="H18" s="21"/>
      <c r="I18" s="21"/>
      <c r="J18" s="21">
        <f>MAX((J5+J16),0)</f>
        <v>13.986231870792384</v>
      </c>
      <c r="K18" s="21"/>
      <c r="L18" s="21">
        <f>MAX((L5+L16),0)</f>
        <v>0</v>
      </c>
      <c r="M18" s="21"/>
      <c r="N18" s="21">
        <f>MAX((N5+N16),0)</f>
        <v>311.4277519067391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6.7287397913871019E-2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58.203188742371154</v>
      </c>
      <c r="C22" s="23">
        <f ca="1">C18*C20</f>
        <v>0</v>
      </c>
      <c r="D22" s="23">
        <f>D18*D20</f>
        <v>214.34288253631792</v>
      </c>
      <c r="E22" s="23">
        <f>E18*E20</f>
        <v>11.440361464357357</v>
      </c>
      <c r="F22" s="23">
        <f>F18*F20</f>
        <v>316.76327875817583</v>
      </c>
      <c r="G22" s="23"/>
      <c r="H22" s="23"/>
      <c r="I22" s="23"/>
      <c r="J22" s="23">
        <f>J18*J20</f>
        <v>4.9511260822605037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0</v>
      </c>
      <c r="C30" s="39">
        <f>IF(ISERROR(B30*3.6/1000000/'E Balans VL '!Z18*100),0,B30*3.6/1000000/'E Balans VL '!Z18*100)</f>
        <v>0</v>
      </c>
      <c r="D30" s="237" t="s">
        <v>691</v>
      </c>
    </row>
    <row r="31" spans="1:18">
      <c r="A31" s="6" t="s">
        <v>32</v>
      </c>
      <c r="B31" s="37">
        <f>IF( ISERROR(IND_ander_ele_kWh/1000),0,IND_ander_ele_kWh/1000)</f>
        <v>128.75479999999999</v>
      </c>
      <c r="C31" s="39">
        <f>IF(ISERROR(B31*3.6/1000000/'E Balans VL '!Z19*100),0,B31*3.6/1000000/'E Balans VL '!Z19*100)</f>
        <v>5.6355767090039326E-3</v>
      </c>
      <c r="D31" s="237" t="s">
        <v>691</v>
      </c>
    </row>
    <row r="32" spans="1:18">
      <c r="A32" s="171" t="s">
        <v>40</v>
      </c>
      <c r="B32" s="37">
        <f>IF( ISERROR(IND_voed_ele_kWh/1000),0,IND_voed_ele_kWh/1000)</f>
        <v>552.10749999999996</v>
      </c>
      <c r="C32" s="39">
        <f>IF(ISERROR(B32*3.6/1000000/'E Balans VL '!Z20*100),0,B32*3.6/1000000/'E Balans VL '!Z20*100)</f>
        <v>0.13668348241428724</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184.13159999999999</v>
      </c>
      <c r="C37" s="39">
        <f>IF(ISERROR(B37*3.6/1000000/'E Balans VL '!Z15*100),0,B37*3.6/1000000/'E Balans VL '!Z15*100)</f>
        <v>1.365304289336068E-3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2940.2325900000001</v>
      </c>
      <c r="C5" s="17">
        <f>'Eigen informatie GS &amp; warmtenet'!B60</f>
        <v>0</v>
      </c>
      <c r="D5" s="30">
        <f>IF(ISERROR(SUM(LB_lb_gas_kWh,LB_rest_gas_kWh)/1000),0,SUM(LB_lb_gas_kWh,LB_rest_gas_kWh)/1000)*0.902</f>
        <v>66.258647983922899</v>
      </c>
      <c r="E5" s="17">
        <f>B17*'E Balans VL '!I25/3.6*1000000/100</f>
        <v>27.233665731188935</v>
      </c>
      <c r="F5" s="17">
        <f>B17*('E Balans VL '!L25/3.6*1000000+'E Balans VL '!N25/3.6*1000000)/100</f>
        <v>7459.9301945635943</v>
      </c>
      <c r="G5" s="18"/>
      <c r="H5" s="17"/>
      <c r="I5" s="17"/>
      <c r="J5" s="17">
        <f>('E Balans VL '!D25+'E Balans VL '!E25)/3.6*1000000*landbouw!B17/100</f>
        <v>450.77046913847249</v>
      </c>
      <c r="K5" s="17"/>
      <c r="L5" s="17">
        <f>L6*(-1)</f>
        <v>0</v>
      </c>
      <c r="M5" s="17"/>
      <c r="N5" s="17">
        <f>N6*(-1)</f>
        <v>21420</v>
      </c>
      <c r="O5" s="17"/>
      <c r="P5" s="17"/>
      <c r="R5" s="32"/>
    </row>
    <row r="6" spans="1:18">
      <c r="A6" s="16" t="s">
        <v>493</v>
      </c>
      <c r="B6" s="17" t="s">
        <v>210</v>
      </c>
      <c r="C6" s="17">
        <f>'lokale energieproductie'!O39+'lokale energieproductie'!O32</f>
        <v>10710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-21420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2940.2325900000001</v>
      </c>
      <c r="C8" s="21">
        <f>C5+C6</f>
        <v>10710</v>
      </c>
      <c r="D8" s="21">
        <f>MAX((D5+D6),0)</f>
        <v>66.258647983922899</v>
      </c>
      <c r="E8" s="21">
        <f>MAX((E5+E6),0)</f>
        <v>27.233665731188935</v>
      </c>
      <c r="F8" s="21">
        <f>MAX((F5+F6),0)</f>
        <v>7459.9301945635943</v>
      </c>
      <c r="G8" s="21"/>
      <c r="H8" s="21"/>
      <c r="I8" s="21"/>
      <c r="J8" s="21">
        <f>MAX((J5+J6),0)</f>
        <v>450.77046913847249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6.7287397913871019E-2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197.84060024266159</v>
      </c>
      <c r="C12" s="23">
        <f ca="1">C8*C10</f>
        <v>0</v>
      </c>
      <c r="D12" s="23">
        <f>D8*D10</f>
        <v>13.384246892752426</v>
      </c>
      <c r="E12" s="23">
        <f>E8*E10</f>
        <v>6.1820421209798884</v>
      </c>
      <c r="F12" s="23">
        <f>F8*F10</f>
        <v>1991.8013619484798</v>
      </c>
      <c r="G12" s="23"/>
      <c r="H12" s="23"/>
      <c r="I12" s="23"/>
      <c r="J12" s="23">
        <f>J8*J10</f>
        <v>159.57274607501927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0.41803873059104019</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581.62794128994562</v>
      </c>
      <c r="C26" s="247">
        <f>B26*'GWP N2O_CH4'!B5</f>
        <v>12214.186767088859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353.58814259889539</v>
      </c>
      <c r="C27" s="247">
        <f>B27*'GWP N2O_CH4'!B5</f>
        <v>7425.3509945768028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8.3738106913799903</v>
      </c>
      <c r="C28" s="247">
        <f>B28*'GWP N2O_CH4'!B4</f>
        <v>2595.8813143277971</v>
      </c>
      <c r="D28" s="50"/>
    </row>
    <row r="29" spans="1:4">
      <c r="A29" s="41" t="s">
        <v>276</v>
      </c>
      <c r="B29" s="247">
        <f>B34*'ha_N2O bodem landbouw'!B4</f>
        <v>20.845709727758951</v>
      </c>
      <c r="C29" s="247">
        <f>B29*'GWP N2O_CH4'!B4</f>
        <v>6462.1700156052748</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4.6753254465982516E-3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1.51855120605896E-5</v>
      </c>
      <c r="C5" s="438" t="s">
        <v>210</v>
      </c>
      <c r="D5" s="423">
        <f>SUM(D6:D11)</f>
        <v>2.8107476428504416E-5</v>
      </c>
      <c r="E5" s="423">
        <f>SUM(E6:E11)</f>
        <v>2.7022514810089848E-4</v>
      </c>
      <c r="F5" s="436" t="s">
        <v>210</v>
      </c>
      <c r="G5" s="423">
        <f>SUM(G6:G11)</f>
        <v>8.9787586542706868E-2</v>
      </c>
      <c r="H5" s="423">
        <f>SUM(H6:H11)</f>
        <v>1.7131762990617999E-2</v>
      </c>
      <c r="I5" s="438" t="s">
        <v>210</v>
      </c>
      <c r="J5" s="438" t="s">
        <v>210</v>
      </c>
      <c r="K5" s="438" t="s">
        <v>210</v>
      </c>
      <c r="L5" s="438" t="s">
        <v>210</v>
      </c>
      <c r="M5" s="423">
        <f>SUM(M6:M11)</f>
        <v>5.7281963693804824E-3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1.3891138282244499E-5</v>
      </c>
      <c r="C6" s="424"/>
      <c r="D6" s="866">
        <f>vkm_GW_PW*SUMIFS(TableVerdeelsleutelVkm[CNG],TableVerdeelsleutelVkm[Voertuigtype],"Lichte voertuigen")*SUMIFS(TableECFTransport[EnergieConsumptieFactor (PJ per km)],TableECFTransport[Index],CONCATENATE($A6,"_CNG_CNG"))</f>
        <v>2.4239820814066987E-5</v>
      </c>
      <c r="E6" s="866">
        <f>vkm_GW_PW*SUMIFS(TableVerdeelsleutelVkm[LPG],TableVerdeelsleutelVkm[Voertuigtype],"Lichte voertuigen")*SUMIFS(TableECFTransport[EnergieConsumptieFactor (PJ per km)],TableECFTransport[Index],CONCATENATE($A6,"_LPG_LPG"))</f>
        <v>2.3477458020707218E-4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5.5176066099138943E-2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1.4844326579928097E-2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3.6517457260098062E-3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2.6719875334895563E-2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5.181833147093218E-7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1.5491579647323513E-3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1.2943737783451001E-6</v>
      </c>
      <c r="C8" s="424"/>
      <c r="D8" s="426">
        <f>vkm_NGW_PW*SUMIFS(TableVerdeelsleutelVkm[CNG],TableVerdeelsleutelVkm[Voertuigtype],"Lichte voertuigen")*SUMIFS(TableECFTransport[EnergieConsumptieFactor (PJ per km)],TableECFTransport[Index],CONCATENATE($A8,"_CNG_CNG"))</f>
        <v>3.8676556144374294E-6</v>
      </c>
      <c r="E8" s="426">
        <f>vkm_NGW_PW*SUMIFS(TableVerdeelsleutelVkm[LPG],TableVerdeelsleutelVkm[Voertuigtype],"Lichte voertuigen")*SUMIFS(TableECFTransport[EnergieConsumptieFactor (PJ per km)],TableECFTransport[Index],CONCATENATE($A8,"_LPG_LPG"))</f>
        <v>3.5450567893826292E-5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7.8204592234802708E-3</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2.2869165173630881E-3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5.231654718985385E-4</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7.118588519210335E-5</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1.7100121028001981E-9</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4.1272067397861457E-6</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4.2181977946082228</v>
      </c>
      <c r="C14" s="21"/>
      <c r="D14" s="21">
        <f t="shared" ref="D14:M14" si="0">((D5)*10^9/3600)+D12</f>
        <v>7.8076323412512263</v>
      </c>
      <c r="E14" s="21">
        <f t="shared" si="0"/>
        <v>75.062541139138474</v>
      </c>
      <c r="F14" s="21"/>
      <c r="G14" s="21">
        <f t="shared" si="0"/>
        <v>24940.996261863016</v>
      </c>
      <c r="H14" s="21">
        <f t="shared" si="0"/>
        <v>4758.823052949444</v>
      </c>
      <c r="I14" s="21"/>
      <c r="J14" s="21"/>
      <c r="K14" s="21"/>
      <c r="L14" s="21"/>
      <c r="M14" s="21">
        <f t="shared" si="0"/>
        <v>1591.1656581612451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6.7287397913871019E-2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0.28383155348521666</v>
      </c>
      <c r="C18" s="23"/>
      <c r="D18" s="23">
        <f t="shared" ref="D18:M18" si="1">D14*D16</f>
        <v>1.5771417329327477</v>
      </c>
      <c r="E18" s="23">
        <f t="shared" si="1"/>
        <v>17.039196838584434</v>
      </c>
      <c r="F18" s="23"/>
      <c r="G18" s="23">
        <f t="shared" si="1"/>
        <v>6659.2460019174259</v>
      </c>
      <c r="H18" s="23">
        <f t="shared" si="1"/>
        <v>1184.9469401844115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6.857724077668772E-4</v>
      </c>
      <c r="H50" s="319">
        <f t="shared" si="2"/>
        <v>0</v>
      </c>
      <c r="I50" s="319">
        <f t="shared" si="2"/>
        <v>0</v>
      </c>
      <c r="J50" s="319">
        <f t="shared" si="2"/>
        <v>0</v>
      </c>
      <c r="K50" s="319">
        <f t="shared" si="2"/>
        <v>0</v>
      </c>
      <c r="L50" s="319">
        <f t="shared" si="2"/>
        <v>0</v>
      </c>
      <c r="M50" s="319">
        <f t="shared" si="2"/>
        <v>3.9196663537066894E-5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6.857724077668772E-4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3.9196663537066894E-5</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190.49233549079923</v>
      </c>
      <c r="H54" s="21">
        <f t="shared" si="3"/>
        <v>0</v>
      </c>
      <c r="I54" s="21">
        <f t="shared" si="3"/>
        <v>0</v>
      </c>
      <c r="J54" s="21">
        <f t="shared" si="3"/>
        <v>0</v>
      </c>
      <c r="K54" s="21">
        <f t="shared" si="3"/>
        <v>0</v>
      </c>
      <c r="L54" s="21">
        <f t="shared" si="3"/>
        <v>0</v>
      </c>
      <c r="M54" s="21">
        <f t="shared" si="3"/>
        <v>10.887962093629692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6.7287397913871019E-2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50.861453576043395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2175.2400281758669</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7497</v>
      </c>
      <c r="C8" s="545">
        <f>B48</f>
        <v>0</v>
      </c>
      <c r="D8" s="1022"/>
      <c r="E8" s="1022">
        <f>E48</f>
        <v>0</v>
      </c>
      <c r="F8" s="1023"/>
      <c r="G8" s="546"/>
      <c r="H8" s="1022">
        <f>I48</f>
        <v>0</v>
      </c>
      <c r="I8" s="1022">
        <f>G48+F48</f>
        <v>0</v>
      </c>
      <c r="J8" s="1022">
        <f>H48+D48+C48</f>
        <v>8820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9672.2400281758673</v>
      </c>
      <c r="C10" s="558">
        <f t="shared" ref="C10:L10" si="0">SUM(C8:C9)</f>
        <v>0</v>
      </c>
      <c r="D10" s="558">
        <f t="shared" si="0"/>
        <v>0</v>
      </c>
      <c r="E10" s="558">
        <f t="shared" si="0"/>
        <v>0</v>
      </c>
      <c r="F10" s="558">
        <f t="shared" si="0"/>
        <v>0</v>
      </c>
      <c r="G10" s="558">
        <f t="shared" si="0"/>
        <v>0</v>
      </c>
      <c r="H10" s="558">
        <f t="shared" si="0"/>
        <v>0</v>
      </c>
      <c r="I10" s="558">
        <f t="shared" si="0"/>
        <v>0</v>
      </c>
      <c r="J10" s="558">
        <f t="shared" si="0"/>
        <v>8820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10710</v>
      </c>
      <c r="C17" s="570">
        <f>B49</f>
        <v>0</v>
      </c>
      <c r="D17" s="571"/>
      <c r="E17" s="571">
        <f>E49</f>
        <v>0</v>
      </c>
      <c r="F17" s="1028"/>
      <c r="G17" s="572"/>
      <c r="H17" s="570">
        <f>I49</f>
        <v>0</v>
      </c>
      <c r="I17" s="571">
        <f>G49+F49</f>
        <v>0</v>
      </c>
      <c r="J17" s="571">
        <f>H49+D49+C49</f>
        <v>12600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10710</v>
      </c>
      <c r="C20" s="557">
        <f>SUM(C17:C19)</f>
        <v>0</v>
      </c>
      <c r="D20" s="557">
        <f t="shared" ref="D20:L20" si="1">SUM(D17:D19)</f>
        <v>0</v>
      </c>
      <c r="E20" s="557">
        <f t="shared" si="1"/>
        <v>0</v>
      </c>
      <c r="F20" s="557">
        <f t="shared" si="1"/>
        <v>0</v>
      </c>
      <c r="G20" s="557">
        <f t="shared" si="1"/>
        <v>0</v>
      </c>
      <c r="H20" s="557">
        <f t="shared" si="1"/>
        <v>0</v>
      </c>
      <c r="I20" s="557">
        <f t="shared" si="1"/>
        <v>0</v>
      </c>
      <c r="J20" s="557">
        <f t="shared" si="1"/>
        <v>12600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33041</v>
      </c>
      <c r="C28" s="771">
        <v>8640</v>
      </c>
      <c r="D28" s="628" t="s">
        <v>913</v>
      </c>
      <c r="E28" s="627" t="s">
        <v>914</v>
      </c>
      <c r="F28" s="627" t="s">
        <v>915</v>
      </c>
      <c r="G28" s="627" t="s">
        <v>916</v>
      </c>
      <c r="H28" s="627" t="s">
        <v>917</v>
      </c>
      <c r="I28" s="627" t="s">
        <v>914</v>
      </c>
      <c r="J28" s="770">
        <v>39847</v>
      </c>
      <c r="K28" s="770">
        <v>39847</v>
      </c>
      <c r="L28" s="627" t="s">
        <v>918</v>
      </c>
      <c r="M28" s="627">
        <v>1666</v>
      </c>
      <c r="N28" s="627">
        <v>7497</v>
      </c>
      <c r="O28" s="627">
        <v>10710</v>
      </c>
      <c r="P28" s="627">
        <v>0</v>
      </c>
      <c r="Q28" s="627">
        <v>21420</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1666</v>
      </c>
      <c r="N29" s="585">
        <f>SUM(N28:N28)</f>
        <v>7497</v>
      </c>
      <c r="O29" s="585">
        <f>SUM(O28:O28)</f>
        <v>10710</v>
      </c>
      <c r="P29" s="585">
        <f>SUM(P28:P28)</f>
        <v>0</v>
      </c>
      <c r="Q29" s="585">
        <f>SUM(Q28:Q28)</f>
        <v>21420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1666</v>
      </c>
      <c r="N32" s="590">
        <f>SUMIF($Z$28:$Z$28,"landbouw",N28:N28)</f>
        <v>7497</v>
      </c>
      <c r="O32" s="590">
        <f>SUMIF($Z$28:$Z$28,"landbouw",O28:O28)</f>
        <v>10710</v>
      </c>
      <c r="P32" s="590">
        <f>SUMIF($Z$28:$Z$28,"landbouw",P28:P28)</f>
        <v>0</v>
      </c>
      <c r="Q32" s="590">
        <f>SUMIF($Z$28:$Z$28,"landbouw",Q28:Q28)</f>
        <v>21420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8820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12600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2020-06-20T16:07:21Z</dcterms:modified>
</cp:coreProperties>
</file>