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E77" i="14" s="1"/>
  <c r="E9" i="59"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B6" i="18"/>
  <c r="B74" i="14" s="1"/>
  <c r="B6" i="59" s="1"/>
  <c r="B5" i="18"/>
  <c r="B73" i="14" s="1"/>
  <c r="B5" i="59" s="1"/>
  <c r="B4" i="18"/>
  <c r="B72" i="14" s="1"/>
  <c r="B4" i="59" s="1"/>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E88" i="14" l="1"/>
  <c r="E18" i="59" s="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O17" i="18"/>
  <c r="O20" i="18" s="1"/>
  <c r="M78" i="14"/>
  <c r="M8" i="59"/>
  <c r="M10" i="59" s="1"/>
  <c r="F17" i="59"/>
  <c r="F20" i="59" s="1"/>
  <c r="F78" i="14"/>
  <c r="F8" i="59"/>
  <c r="F10" i="59" s="1"/>
  <c r="J90" i="14"/>
  <c r="J17" i="59"/>
  <c r="J20" i="59" s="1"/>
  <c r="M90" i="14"/>
  <c r="M17" i="59"/>
  <c r="M20" i="59" s="1"/>
  <c r="Q76" i="14"/>
  <c r="D78" i="14"/>
  <c r="Q87" i="14"/>
  <c r="D90" i="14"/>
  <c r="A31" i="23"/>
  <c r="A32" i="23"/>
  <c r="A33" i="23"/>
  <c r="I76" i="14" l="1"/>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C11" i="14"/>
  <c r="B4" i="48"/>
  <c r="P4" i="48"/>
  <c r="P22" i="48" s="1"/>
  <c r="Q11" i="14"/>
  <c r="D4" i="48"/>
  <c r="D22" i="48" s="1"/>
  <c r="E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46" i="14" s="1"/>
  <c r="P61" i="14" s="1"/>
  <c r="P63" i="14" s="1"/>
  <c r="O8" i="48"/>
  <c r="O26" i="48" s="1"/>
  <c r="P13" i="14"/>
  <c r="F24" i="14"/>
  <c r="F26" i="14" s="1"/>
  <c r="E7" i="48"/>
  <c r="E25" i="48" s="1"/>
  <c r="Q63" i="14"/>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O15" i="48" l="1"/>
  <c r="J5" i="48"/>
  <c r="J23" i="48" s="1"/>
  <c r="K10" i="14"/>
  <c r="N22" i="14"/>
  <c r="N27" i="14" s="1"/>
  <c r="N63" i="14" s="1"/>
  <c r="F10" i="14"/>
  <c r="E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23" i="48" l="1"/>
  <c r="E33" i="48" s="1"/>
  <c r="E8" i="48"/>
  <c r="E26" i="48" s="1"/>
  <c r="F13" i="14"/>
  <c r="F16" i="14" s="1"/>
  <c r="F27" i="14" s="1"/>
  <c r="F63" i="14" s="1"/>
  <c r="J22" i="16"/>
  <c r="K43" i="14" s="1"/>
  <c r="K46" i="14" s="1"/>
  <c r="K61" i="14" s="1"/>
  <c r="J8" i="48"/>
  <c r="J26" i="48" s="1"/>
  <c r="J33" i="48" s="1"/>
  <c r="K13" i="14"/>
  <c r="K16" i="14" s="1"/>
  <c r="K27" i="14" s="1"/>
  <c r="G33" i="48"/>
  <c r="I22" i="14"/>
  <c r="I27" i="14" s="1"/>
  <c r="I63" i="14" s="1"/>
  <c r="R20" i="14"/>
  <c r="R22" i="14" s="1"/>
  <c r="H27" i="48"/>
  <c r="H33" i="48" s="1"/>
  <c r="H15" i="48"/>
  <c r="O13" i="14"/>
  <c r="N8" i="48"/>
  <c r="N26" i="48" s="1"/>
  <c r="F8" i="48"/>
  <c r="G13" i="14"/>
  <c r="K63" i="14" l="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<sst xmlns="http://schemas.openxmlformats.org/spreadsheetml/2006/main" count="2443" uniqueCount="919">
  <si>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</si>
  <si>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</si>
  <si>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</si>
  <si>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</si>
  <si>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</si>
  <si>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</si>
  <si>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</si>
  <si>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</si>
  <si>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</si>
  <si>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</si>
  <si>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</si>
  <si>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</si>
  <si>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</si>
  <si>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</si>
  <si>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</si>
  <si>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</si>
  <si>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</si>
  <si>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</si>
  <si>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</si>
  <si>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</si>
  <si>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</si>
  <si>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</si>
  <si>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</si>
  <si>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</si>
  <si>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</si>
  <si>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</si>
  <si>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</si>
  <si>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</si>
  <si>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</si>
  <si>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</si>
  <si>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</si>
  <si>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</si>
  <si>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</si>
  <si>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</si>
  <si>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</si>
  <si>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</si>
  <si>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</si>
  <si>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</si>
  <si>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</si>
  <si>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</si>
  <si>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</si>
  <si>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</si>
  <si>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</si>
  <si>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</si>
  <si>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</si>
  <si>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</si>
  <si>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</si>
  <si>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</si>
  <si>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</si>
  <si>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</si>
  <si>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</si>
  <si>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</si>
  <si>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</si>
  <si>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</si>
  <si>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</si>
  <si>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</si>
  <si>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</si>
  <si>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</si>
  <si>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</si>
  <si>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</si>
  <si>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</si>
  <si>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</si>
  <si>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</si>
  <si>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</si>
  <si>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</si>
  <si>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</si>
  <si>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</si>
  <si>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</si>
  <si>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</si>
  <si>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</si>
  <si>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</si>
  <si>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</si>
  <si>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</si>
  <si>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</si>
  <si>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</si>
  <si>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</si>
  <si>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</si>
  <si>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</si>
  <si>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</si>
  <si>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</si>
  <si>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</si>
  <si>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</si>
  <si>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</si>
  <si>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</si>
  <si>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</si>
  <si>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</si>
  <si>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</si>
  <si>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</si>
  <si>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</si>
  <si>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</si>
  <si>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</si>
  <si>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</si>
  <si>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</si>
  <si>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</si>
  <si>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</si>
  <si>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</si>
  <si>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</si>
  <si>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</si>
  <si>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</si>
  <si>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</si>
  <si>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</si>
  <si>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</si>
  <si>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</si>
  <si>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</si>
  <si>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</si>
  <si>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</si>
  <si>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</si>
  <si>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</si>
  <si>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</si>
  <si>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</si>
  <si>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</si>
  <si>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</si>
  <si>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</si>
  <si>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</si>
  <si>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</si>
  <si>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</si>
  <si>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</si>
  <si>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</si>
  <si>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</si>
  <si>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</si>
  <si>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</si>
  <si>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</si>
  <si>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</si>
  <si>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</si>
  <si>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</si>
  <si>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</si>
  <si>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</si>
  <si>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</si>
  <si>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</si>
  <si>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</si>
  <si>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</si>
  <si>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</si>
  <si>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</si>
  <si>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</si>
  <si>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</si>
  <si>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</si>
  <si>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</si>
  <si>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</si>
  <si>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</si>
  <si>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</si>
  <si>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</si>
  <si>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</si>
  <si>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</si>
  <si>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</si>
  <si>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</si>
  <si>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</si>
  <si>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</si>
  <si>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</si>
  <si>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</si>
  <si>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</si>
  <si>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</si>
  <si>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</si>
  <si>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</si>
  <si>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</si>
  <si>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</si>
  <si>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</si>
  <si>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</si>
  <si>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</si>
  <si>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</si>
  <si>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</si>
  <si>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</si>
  <si>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</si>
  <si>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</si>
  <si>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</si>
  <si>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</si>
  <si>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</si>
  <si>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</si>
  <si>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</si>
  <si>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</si>
  <si>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</si>
  <si>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</si>
  <si>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</si>
  <si>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</si>
  <si>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</si>
  <si>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</si>
  <si>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</si>
  <si>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</si>
  <si>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</si>
  <si>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</si>
  <si>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</si>
  <si>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</si>
  <si>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</si>
  <si>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</si>
  <si>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</si>
  <si>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</si>
  <si>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</si>
  <si>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</si>
  <si>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</si>
  <si>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</si>
  <si>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</si>
  <si>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</si>
  <si>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</si>
  <si>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</si>
  <si>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</si>
  <si>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</si>
  <si>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</si>
  <si>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</si>
  <si>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</si>
  <si>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</si>
  <si>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</si>
  <si>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</si>
  <si>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</si>
  <si>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</si>
  <si>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</si>
  <si>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</si>
  <si>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</si>
  <si>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</si>
  <si>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</si>
  <si>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</si>
  <si>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</si>
  <si>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</si>
  <si>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</si>
  <si>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</si>
  <si>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</si>
  <si>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</si>
  <si>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</si>
  <si>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</si>
  <si>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</si>
  <si>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</si>
  <si>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</si>
  <si>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</si>
  <si>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</si>
  <si>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</si>
  <si>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</si>
  <si>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</si>
  <si>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</si>
  <si>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</si>
  <si>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</si>
  <si>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</si>
  <si>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</si>
  <si>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</si>
  <si>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</si>
  <si>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</si>
  <si>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</si>
  <si>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</si>
  <si>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</si>
  <si>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</si>
  <si>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</si>
  <si>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</si>
  <si>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</si>
  <si>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</si>
  <si>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</si>
  <si>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</si>
  <si>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</si>
  <si>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</si>
  <si>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</si>
  <si>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</si>
  <si>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</si>
  <si>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</si>
  <si>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</si>
  <si>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</si>
  <si>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</si>
  <si>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</si>
  <si>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</si>
  <si>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</si>
  <si>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</si>
  <si>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</si>
  <si>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</si>
  <si>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</si>
  <si>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</si>
  <si>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</si>
  <si>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</si>
  <si>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</si>
  <si>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</si>
  <si>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</si>
  <si>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</si>
  <si>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</si>
  <si>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</si>
  <si>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</si>
  <si>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</si>
  <si>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</si>
  <si>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</si>
  <si>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</si>
  <si>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</si>
  <si>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</si>
  <si>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</si>
  <si>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</si>
  <si>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</si>
  <si>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</si>
  <si>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</si>
  <si>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</si>
  <si>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</si>
  <si>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</si>
  <si>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</si>
  <si>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</si>
  <si>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</si>
  <si>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</si>
  <si>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</si>
  <si>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</si>
  <si>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</si>
  <si>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</si>
  <si>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</si>
  <si>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</si>
  <si>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</si>
  <si>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</si>
  <si>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</si>
  <si>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</si>
  <si>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</si>
  <si>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</si>
  <si>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</si>
  <si>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</si>
  <si>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</si>
  <si>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</si>
  <si>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</si>
  <si>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</si>
  <si>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</si>
  <si>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</si>
  <si>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</si>
  <si>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</si>
  <si>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</si>
  <si>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</si>
  <si>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</si>
  <si>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</si>
  <si>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</si>
  <si>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</si>
  <si>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</si>
  <si>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</si>
  <si>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</si>
  <si>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</si>
  <si>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</si>
  <si>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</si>
  <si>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</si>
  <si>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</si>
  <si>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</si>
  <si>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</si>
  <si>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</si>
  <si>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</si>
  <si>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</si>
  <si>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</si>
  <si>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</si>
  <si>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</si>
  <si>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</si>
  <si>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</si>
  <si>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</si>
  <si>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</si>
  <si>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</si>
  <si>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</si>
  <si>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</si>
  <si>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</si>
  <si>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</si>
  <si>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</si>
  <si>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</si>
  <si>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</si>
  <si>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</si>
  <si>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</si>
  <si>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</si>
  <si>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</si>
  <si>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</si>
  <si>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</si>
  <si>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</si>
  <si>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</si>
  <si>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</si>
  <si>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</si>
  <si>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</si>
  <si>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</si>
  <si>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</si>
  <si>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</si>
  <si>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</si>
  <si>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</si>
  <si>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</si>
  <si>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</si>
  <si>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</si>
  <si>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</si>
  <si>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</si>
  <si>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</si>
  <si>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</si>
  <si>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</si>
  <si>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</si>
  <si>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</si>
  <si>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</si>
  <si>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</si>
  <si>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</si>
  <si>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</si>
  <si>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</si>
  <si>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</si>
  <si>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</si>
  <si>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</si>
  <si>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</si>
  <si>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</si>
  <si>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</si>
  <si>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</si>
  <si>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</si>
  <si>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</si>
  <si>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</si>
  <si>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</si>
  <si>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</si>
  <si>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</si>
  <si>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</si>
  <si>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</si>
  <si>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</si>
  <si>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</si>
  <si>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</si>
  <si>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</si>
  <si>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</si>
  <si>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</si>
  <si>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</si>
  <si>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</si>
  <si>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</si>
  <si>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</si>
  <si>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</si>
  <si>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</si>
  <si>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</si>
  <si>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</si>
  <si>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</si>
  <si>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</si>
  <si>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</si>
  <si>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</si>
  <si>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</si>
  <si>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</si>
  <si>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</si>
  <si>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</si>
  <si>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</si>
  <si>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</si>
  <si>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</si>
  <si>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</si>
  <si>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</si>
  <si>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</si>
  <si>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</si>
  <si>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</si>
  <si>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</si>
  <si>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</si>
  <si>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</si>
  <si>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</si>
  <si>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</si>
  <si>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</si>
  <si>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</si>
  <si>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</si>
  <si>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</si>
  <si>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</si>
  <si>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</si>
  <si>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</si>
  <si>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</si>
  <si>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</si>
  <si>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</si>
  <si>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</si>
  <si>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</si>
  <si>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</si>
  <si>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</si>
  <si>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</si>
  <si>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</si>
  <si>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</si>
  <si>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</si>
  <si>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</si>
  <si>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</si>
  <si>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</si>
  <si>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</si>
  <si>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</si>
  <si>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</si>
  <si>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</si>
  <si>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</si>
  <si>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</si>
  <si>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</si>
  <si>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</si>
  <si>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</si>
  <si>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</si>
  <si>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</si>
  <si>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</si>
  <si>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</si>
  <si>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</si>
  <si>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</si>
  <si>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</si>
  <si>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</si>
  <si>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</si>
  <si>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</si>
  <si>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</si>
  <si>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</si>
  <si>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</si>
  <si>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</si>
  <si>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</si>
  <si>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</si>
  <si>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</si>
  <si>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</si>
  <si>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</si>
  <si>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</si>
  <si>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</si>
  <si>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</si>
  <si>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</si>
  <si>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</si>
  <si>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</si>
  <si>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</si>
  <si>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</si>
  <si>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</si>
  <si>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</si>
  <si>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</si>
  <si>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</si>
  <si>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</si>
  <si>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</si>
  <si>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</si>
  <si>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</si>
  <si>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</si>
  <si>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</si>
  <si>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</si>
  <si>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</si>
  <si>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</si>
  <si>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</si>
  <si>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</si>
  <si>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</si>
  <si>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</si>
  <si>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</si>
  <si>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</si>
  <si>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</si>
  <si>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</si>
  <si>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</si>
  <si>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</si>
  <si>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</si>
  <si>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</si>
  <si>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</si>
  <si>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</si>
  <si>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</si>
  <si>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</si>
  <si>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</si>
  <si>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</si>
  <si>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</si>
  <si>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</si>
  <si>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</si>
  <si>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</si>
  <si>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</si>
  <si>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</si>
  <si>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</si>
  <si>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</si>
  <si>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</si>
  <si>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</si>
  <si>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</si>
  <si>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</si>
  <si>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</si>
  <si>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</si>
  <si>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</si>
  <si>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</si>
  <si>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</si>
  <si>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</si>
  <si>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</si>
  <si>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</si>
  <si>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</si>
  <si>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</si>
  <si>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</si>
  <si>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</si>
  <si>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</si>
  <si>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</si>
  <si>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</si>
  <si>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</si>
  <si>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</si>
  <si>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</si>
  <si>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</si>
  <si>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</si>
  <si>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</si>
  <si>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</si>
  <si>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</si>
  <si>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</si>
  <si>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</si>
  <si>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</si>
  <si>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</si>
  <si>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</si>
  <si>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</si>
  <si>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</si>
  <si>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</si>
  <si>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</si>
  <si>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</si>
  <si>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</si>
  <si>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</si>
  <si>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</si>
  <si>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</si>
  <si>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</si>
  <si>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</si>
  <si>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</si>
  <si>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</si>
  <si>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</si>
  <si>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</si>
  <si>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</si>
  <si>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</si>
  <si>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</si>
  <si>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</si>
  <si>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</si>
  <si>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</si>
  <si>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</si>
  <si>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</si>
  <si>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</si>
  <si>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</si>
  <si>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</si>
  <si>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</si>
  <si>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</si>
  <si>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</si>
  <si>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</si>
  <si>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</si>
  <si>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</si>
  <si>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</si>
  <si>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</si>
  <si>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</si>
  <si>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</si>
  <si>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</si>
  <si>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</si>
  <si>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</si>
  <si>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</si>
  <si>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</si>
  <si>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</si>
  <si>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</si>
  <si>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</si>
  <si>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</si>
  <si>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</si>
  <si>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</si>
  <si>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</si>
  <si>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</si>
  <si>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</si>
  <si>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</si>
  <si>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</si>
  <si>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</si>
  <si>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</si>
  <si>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</si>
  <si>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</si>
  <si>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</si>
  <si>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</si>
  <si>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</si>
  <si>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</si>
  <si>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</si>
  <si>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</si>
  <si>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</si>
  <si>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</si>
  <si>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</si>
  <si>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</si>
  <si>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</si>
  <si>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</si>
  <si>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</si>
  <si>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</si>
  <si>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</si>
  <si>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</si>
  <si>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</si>
  <si>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</si>
  <si>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</si>
  <si>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</si>
  <si>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</si>
  <si>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</si>
  <si>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</si>
  <si>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</si>
  <si>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</si>
  <si>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</si>
  <si>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</si>
  <si>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</si>
  <si>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</si>
  <si>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</si>
  <si>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</si>
  <si>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</si>
  <si>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</si>
  <si>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</si>
  <si>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</si>
  <si>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</si>
  <si>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</si>
  <si>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</si>
  <si>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</si>
  <si>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</si>
  <si>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</si>
  <si>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</si>
  <si>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</si>
  <si>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</si>
  <si>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</si>
  <si>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</si>
  <si>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</si>
  <si>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</si>
  <si>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</si>
  <si>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</si>
  <si>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</si>
  <si>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</si>
  <si>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</si>
  <si>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</si>
  <si>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</si>
  <si>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</si>
  <si>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</si>
  <si>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</si>
  <si>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</si>
  <si>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</si>
  <si>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</si>
  <si>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</si>
  <si>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</si>
  <si>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</si>
  <si>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</si>
  <si>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</si>
  <si>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</si>
  <si>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</si>
  <si>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</si>
  <si>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</si>
  <si>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</si>
  <si>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</si>
  <si>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</si>
  <si>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</si>
  <si>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</si>
  <si>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</si>
  <si>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</si>
  <si>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</si>
  <si>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</si>
  <si>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</si>
  <si>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</si>
  <si>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</si>
  <si>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</si>
  <si>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</si>
  <si>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</si>
  <si>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</si>
  <si>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</si>
  <si>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</si>
  <si>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</si>
  <si>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</si>
  <si>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</si>
  <si>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</si>
  <si>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</si>
  <si>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</si>
  <si>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</si>
  <si>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</si>
  <si>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</si>
  <si>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</si>
  <si>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</si>
  <si>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</si>
  <si>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</si>
  <si>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</si>
  <si>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</si>
  <si>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</si>
  <si>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</si>
  <si>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</si>
  <si>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</si>
  <si>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</si>
  <si>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</si>
  <si>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</si>
  <si>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</si>
  <si>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</si>
  <si>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</si>
  <si>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</si>
  <si>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</si>
  <si>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</si>
  <si>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</si>
  <si>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</si>
  <si>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</si>
  <si>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</si>
  <si>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</si>
  <si>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</si>
  <si>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</si>
  <si>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</si>
  <si>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</si>
  <si>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</si>
  <si>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</si>
  <si>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</si>
  <si>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</si>
  <si>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</si>
  <si>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</si>
  <si>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</si>
  <si>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</si>
  <si>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</si>
  <si>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</si>
  <si>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</si>
  <si>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</si>
  <si>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</si>
  <si>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</si>
  <si>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</si>
  <si>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</si>
  <si>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</si>
  <si>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</si>
  <si>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</si>
  <si>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</si>
  <si>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</si>
  <si>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</si>
  <si>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</si>
  <si>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</si>
  <si>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</si>
  <si>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</si>
  <si>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</si>
  <si>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</si>
  <si>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</si>
  <si>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</si>
  <si>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</si>
  <si>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</si>
  <si>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</si>
  <si>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</si>
  <si>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</si>
  <si>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</si>
  <si>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</si>
  <si>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</si>
  <si>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</si>
  <si>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</si>
  <si>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</si>
  <si>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</si>
  <si>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</si>
  <si>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</si>
  <si>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</si>
  <si>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</si>
  <si>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</si>
  <si>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</si>
  <si>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</si>
  <si>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</si>
  <si>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</si>
  <si>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</si>
  <si>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</si>
  <si>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</si>
  <si>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</si>
  <si>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</si>
  <si>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</si>
  <si>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</si>
  <si>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</si>
  <si>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</si>
  <si>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</si>
  <si>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</si>
  <si>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</si>
  <si>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</si>
  <si>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</si>
  <si>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</si>
  <si>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</si>
  <si>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</si>
  <si>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</si>
  <si>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</si>
  <si>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</si>
  <si>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</si>
  <si>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</si>
  <si>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</si>
  <si>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</si>
  <si>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</si>
  <si>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</si>
  <si>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</si>
  <si>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</si>
  <si>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</si>
  <si>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</si>
  <si>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</si>
  <si>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</si>
  <si>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</si>
  <si>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</si>
  <si>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</si>
  <si>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</si>
  <si>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</si>
  <si>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</si>
  <si>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</si>
  <si>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</si>
  <si>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</si>
  <si>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</si>
  <si>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</si>
  <si>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</si>
  <si>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</si>
  <si>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</si>
  <si>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</si>
  <si>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</si>
  <si>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</si>
  <si>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</si>
  <si>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</si>
  <si>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</si>
  <si>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</si>
  <si>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</si>
  <si>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</si>
  <si>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</si>
  <si>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</si>
  <si>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</si>
  <si>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</si>
  <si>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</si>
  <si>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</si>
  <si>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</si>
  <si>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</si>
  <si>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</si>
  <si>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</si>
  <si>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</si>
  <si>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</si>
  <si>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</si>
  <si>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</si>
  <si>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</si>
  <si>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</si>
  <si>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</si>
  <si>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</si>
  <si>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</si>
  <si>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</si>
  <si>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</si>
  <si>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</si>
  <si>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</si>
  <si>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</si>
  <si>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</si>
  <si>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</si>
  <si>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</si>
  <si>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</si>
  <si>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</si>
  <si>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</si>
  <si>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</si>
  <si>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</si>
  <si>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</si>
  <si>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</si>
  <si>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</si>
  <si>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</si>
  <si>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</si>
  <si>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</si>
  <si>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</si>
  <si>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</si>
  <si>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</si>
  <si>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</si>
  <si>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</si>
  <si>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</si>
  <si>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</si>
  <si>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</si>
  <si>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</si>
  <si>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</si>
  <si>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</si>
  <si>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</si>
  <si>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</si>
  <si>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</si>
  <si>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</si>
  <si>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</si>
  <si>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</si>
  <si>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</si>
  <si>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</si>
  <si>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</si>
  <si>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</si>
  <si>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</si>
  <si>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</si>
  <si>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</si>
  <si>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</si>
  <si>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</si>
  <si>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</si>
  <si>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</si>
  <si>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</si>
  <si>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</si>
  <si>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33037</t>
  </si>
  <si>
    <t>ZONNEBEKE</t>
  </si>
  <si>
    <t>Paarden&amp;pony's 200 - 600 kg</t>
  </si>
  <si>
    <t>Paarden&amp;pony's &lt; 200 kg</t>
  </si>
  <si>
    <t>Fluvius</t>
  </si>
  <si>
    <t>referentietaak LNE (2017); Jaarverslag De Lijn</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</si>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</sst>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131091.08181664473</c:v>
                </c:pt>
                <c:pt idx="1">
                  <c:v>29047.325261934966</c:v>
                </c:pt>
                <c:pt idx="2">
                  <c:v>889.47699999999998</c:v>
                </c:pt>
                <c:pt idx="3">
                  <c:v>22897.525327385731</c:v>
                </c:pt>
                <c:pt idx="4">
                  <c:v>190199.50832645968</c:v>
                </c:pt>
                <c:pt idx="5">
                  <c:v>129758.40314085437</c:v>
                </c:pt>
                <c:pt idx="6">
                  <c:v>1056.8264368012415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131091.08181664473</c:v>
                </c:pt>
                <c:pt idx="1">
                  <c:v>29047.325261934966</c:v>
                </c:pt>
                <c:pt idx="2">
                  <c:v>889.47699999999998</c:v>
                </c:pt>
                <c:pt idx="3">
                  <c:v>22897.525327385731</c:v>
                </c:pt>
                <c:pt idx="4">
                  <c:v>190199.50832645968</c:v>
                </c:pt>
                <c:pt idx="5">
                  <c:v>129758.40314085437</c:v>
                </c:pt>
                <c:pt idx="6">
                  <c:v>1056.8264368012415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25228.538916354424</c:v>
                </c:pt>
                <c:pt idx="2">
                  <c:v>5361.6173937248395</c:v>
                </c:pt>
                <c:pt idx="3">
                  <c:v>185.40906744190383</c:v>
                </c:pt>
                <c:pt idx="4">
                  <c:v>5773.7998094590967</c:v>
                </c:pt>
                <c:pt idx="5">
                  <c:v>39406.862479857053</c:v>
                </c:pt>
                <c:pt idx="6">
                  <c:v>32551.730654162489</c:v>
                </c:pt>
                <c:pt idx="7">
                  <c:v>266.9165226094982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25228.538916354424</c:v>
                </c:pt>
                <c:pt idx="2">
                  <c:v>5361.6173937248395</c:v>
                </c:pt>
                <c:pt idx="3">
                  <c:v>185.40906744190383</c:v>
                </c:pt>
                <c:pt idx="4">
                  <c:v>5773.7998094590967</c:v>
                </c:pt>
                <c:pt idx="5">
                  <c:v>39406.862479857053</c:v>
                </c:pt>
                <c:pt idx="6">
                  <c:v>32551.730654162489</c:v>
                </c:pt>
                <c:pt idx="7">
                  <c:v>266.9165226094982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33037</v>
      </c>
      <c r="B6" s="391"/>
      <c r="C6" s="392"/>
    </row>
    <row r="7" spans="1:7" s="389" customFormat="1" ht="15.75" customHeight="1">
      <c r="A7" s="393" t="str">
        <f>txtMunicipality</f>
        <v>ZONNEBEKE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13908.453170000001</v>
      </c>
      <c r="D10" s="991">
        <f ca="1">tertiair!C16</f>
        <v>62.357142857142847</v>
      </c>
      <c r="E10" s="991">
        <f ca="1">tertiair!D16</f>
        <v>9999.5793083516473</v>
      </c>
      <c r="F10" s="991">
        <f>tertiair!E16</f>
        <v>115.66508679929181</v>
      </c>
      <c r="G10" s="991">
        <f ca="1">tertiair!F16</f>
        <v>2253.468679454817</v>
      </c>
      <c r="H10" s="991">
        <f>tertiair!G16</f>
        <v>0</v>
      </c>
      <c r="I10" s="991">
        <f>tertiair!H16</f>
        <v>0</v>
      </c>
      <c r="J10" s="991">
        <f>tertiair!I16</f>
        <v>0</v>
      </c>
      <c r="K10" s="991">
        <f>tertiair!J16</f>
        <v>0</v>
      </c>
      <c r="L10" s="991">
        <f>tertiair!K16</f>
        <v>0</v>
      </c>
      <c r="M10" s="991">
        <f ca="1">tertiair!L16</f>
        <v>0</v>
      </c>
      <c r="N10" s="991">
        <f>tertiair!M16</f>
        <v>0</v>
      </c>
      <c r="O10" s="991">
        <f ca="1">tertiair!N16</f>
        <v>3576.6488744720696</v>
      </c>
      <c r="P10" s="991">
        <f>tertiair!O16</f>
        <v>1.5633333333333335</v>
      </c>
      <c r="Q10" s="992">
        <f>tertiair!P16</f>
        <v>19.066666666666666</v>
      </c>
      <c r="R10" s="675">
        <f ca="1">SUM(C10:Q10)</f>
        <v>29936.802261934969</v>
      </c>
      <c r="S10" s="67"/>
    </row>
    <row r="11" spans="1:19" s="448" customFormat="1">
      <c r="A11" s="784" t="s">
        <v>224</v>
      </c>
      <c r="B11" s="789"/>
      <c r="C11" s="991">
        <f>huishoudens!B8</f>
        <v>21986.946338331385</v>
      </c>
      <c r="D11" s="991">
        <f>huishoudens!C8</f>
        <v>0</v>
      </c>
      <c r="E11" s="991">
        <f>huishoudens!D8</f>
        <v>31923.201128589833</v>
      </c>
      <c r="F11" s="991">
        <f>huishoudens!E8</f>
        <v>32369.001424767775</v>
      </c>
      <c r="G11" s="991">
        <f>huishoudens!F8</f>
        <v>19134.839961281781</v>
      </c>
      <c r="H11" s="991">
        <f>huishoudens!G8</f>
        <v>0</v>
      </c>
      <c r="I11" s="991">
        <f>huishoudens!H8</f>
        <v>0</v>
      </c>
      <c r="J11" s="991">
        <f>huishoudens!I8</f>
        <v>0</v>
      </c>
      <c r="K11" s="991">
        <f>huishoudens!J8</f>
        <v>4915.7270708018586</v>
      </c>
      <c r="L11" s="991">
        <f>huishoudens!K8</f>
        <v>0</v>
      </c>
      <c r="M11" s="991">
        <f>huishoudens!L8</f>
        <v>0</v>
      </c>
      <c r="N11" s="991">
        <f>huishoudens!M8</f>
        <v>0</v>
      </c>
      <c r="O11" s="991">
        <f>huishoudens!N8</f>
        <v>20038.919226205428</v>
      </c>
      <c r="P11" s="991">
        <f>huishoudens!O8</f>
        <v>322.04666666666668</v>
      </c>
      <c r="Q11" s="992">
        <f>huishoudens!P8</f>
        <v>400.4</v>
      </c>
      <c r="R11" s="675">
        <f>SUM(C11:Q11)</f>
        <v>131091.08181664473</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86269.820600000006</v>
      </c>
      <c r="D13" s="991">
        <f>industrie!C18</f>
        <v>0</v>
      </c>
      <c r="E13" s="991">
        <f>industrie!D18</f>
        <v>80964.973718012319</v>
      </c>
      <c r="F13" s="991">
        <f>industrie!E18</f>
        <v>3383.7643458600273</v>
      </c>
      <c r="G13" s="991">
        <f>industrie!F18</f>
        <v>15753.940274790111</v>
      </c>
      <c r="H13" s="991">
        <f>industrie!G18</f>
        <v>0</v>
      </c>
      <c r="I13" s="991">
        <f>industrie!H18</f>
        <v>0</v>
      </c>
      <c r="J13" s="991">
        <f>industrie!I18</f>
        <v>0</v>
      </c>
      <c r="K13" s="991">
        <f>industrie!J18</f>
        <v>267.82819327848136</v>
      </c>
      <c r="L13" s="991">
        <f>industrie!K18</f>
        <v>0</v>
      </c>
      <c r="M13" s="991">
        <f>industrie!L18</f>
        <v>0</v>
      </c>
      <c r="N13" s="991">
        <f>industrie!M18</f>
        <v>0</v>
      </c>
      <c r="O13" s="991">
        <f>industrie!N18</f>
        <v>3559.1811945187469</v>
      </c>
      <c r="P13" s="991">
        <f>industrie!O18</f>
        <v>0</v>
      </c>
      <c r="Q13" s="992">
        <f>industrie!P18</f>
        <v>0</v>
      </c>
      <c r="R13" s="675">
        <f>SUM(C13:Q13)</f>
        <v>190199.50832645968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122165.22010833138</v>
      </c>
      <c r="D16" s="707">
        <f t="shared" ref="D16:R16" ca="1" si="0">SUM(D9:D15)</f>
        <v>62.357142857142847</v>
      </c>
      <c r="E16" s="707">
        <f t="shared" ca="1" si="0"/>
        <v>122887.7541549538</v>
      </c>
      <c r="F16" s="707">
        <f t="shared" si="0"/>
        <v>35868.430857427091</v>
      </c>
      <c r="G16" s="707">
        <f t="shared" ca="1" si="0"/>
        <v>37142.24891552671</v>
      </c>
      <c r="H16" s="707">
        <f t="shared" si="0"/>
        <v>0</v>
      </c>
      <c r="I16" s="707">
        <f t="shared" si="0"/>
        <v>0</v>
      </c>
      <c r="J16" s="707">
        <f t="shared" si="0"/>
        <v>0</v>
      </c>
      <c r="K16" s="707">
        <f t="shared" si="0"/>
        <v>5183.5552640803398</v>
      </c>
      <c r="L16" s="707">
        <f t="shared" si="0"/>
        <v>0</v>
      </c>
      <c r="M16" s="707">
        <f t="shared" ca="1" si="0"/>
        <v>0</v>
      </c>
      <c r="N16" s="707">
        <f t="shared" si="0"/>
        <v>0</v>
      </c>
      <c r="O16" s="707">
        <f t="shared" ca="1" si="0"/>
        <v>27174.749295196245</v>
      </c>
      <c r="P16" s="707">
        <f t="shared" si="0"/>
        <v>323.61</v>
      </c>
      <c r="Q16" s="707">
        <f t="shared" si="0"/>
        <v>419.46666666666664</v>
      </c>
      <c r="R16" s="707">
        <f t="shared" ca="1" si="0"/>
        <v>351227.3924050394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999.68735059737151</v>
      </c>
      <c r="I19" s="991">
        <f>transport!H54</f>
        <v>0</v>
      </c>
      <c r="J19" s="991">
        <f>transport!I54</f>
        <v>0</v>
      </c>
      <c r="K19" s="991">
        <f>transport!J54</f>
        <v>0</v>
      </c>
      <c r="L19" s="991">
        <f>transport!K54</f>
        <v>0</v>
      </c>
      <c r="M19" s="991">
        <f>transport!L54</f>
        <v>0</v>
      </c>
      <c r="N19" s="991">
        <f>transport!M54</f>
        <v>57.139086203869873</v>
      </c>
      <c r="O19" s="991">
        <f>transport!N54</f>
        <v>0</v>
      </c>
      <c r="P19" s="991">
        <f>transport!O54</f>
        <v>0</v>
      </c>
      <c r="Q19" s="992">
        <f>transport!P54</f>
        <v>0</v>
      </c>
      <c r="R19" s="675">
        <f>SUM(C19:Q19)</f>
        <v>1056.8264368012415</v>
      </c>
      <c r="S19" s="67"/>
    </row>
    <row r="20" spans="1:19" s="448" customFormat="1">
      <c r="A20" s="784" t="s">
        <v>306</v>
      </c>
      <c r="B20" s="789"/>
      <c r="C20" s="991">
        <f>transport!B14</f>
        <v>13.963261797316624</v>
      </c>
      <c r="D20" s="991">
        <f>transport!C14</f>
        <v>0</v>
      </c>
      <c r="E20" s="991">
        <f>transport!D14</f>
        <v>26.995116629342533</v>
      </c>
      <c r="F20" s="991">
        <f>transport!E14</f>
        <v>291.06963504902177</v>
      </c>
      <c r="G20" s="991">
        <f>transport!F14</f>
        <v>0</v>
      </c>
      <c r="H20" s="991">
        <f>transport!G14</f>
        <v>105977.29581887748</v>
      </c>
      <c r="I20" s="991">
        <f>transport!H14</f>
        <v>16792.595364532201</v>
      </c>
      <c r="J20" s="991">
        <f>transport!I14</f>
        <v>0</v>
      </c>
      <c r="K20" s="991">
        <f>transport!J14</f>
        <v>0</v>
      </c>
      <c r="L20" s="991">
        <f>transport!K14</f>
        <v>0</v>
      </c>
      <c r="M20" s="991">
        <f>transport!L14</f>
        <v>0</v>
      </c>
      <c r="N20" s="991">
        <f>transport!M14</f>
        <v>6656.4839439690049</v>
      </c>
      <c r="O20" s="991">
        <f>transport!N14</f>
        <v>0</v>
      </c>
      <c r="P20" s="991">
        <f>transport!O14</f>
        <v>0</v>
      </c>
      <c r="Q20" s="992">
        <f>transport!P14</f>
        <v>0</v>
      </c>
      <c r="R20" s="675">
        <f>SUM(C20:Q20)</f>
        <v>129758.40314085437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13.963261797316624</v>
      </c>
      <c r="D22" s="787">
        <f t="shared" ref="D22:R22" si="1">SUM(D18:D21)</f>
        <v>0</v>
      </c>
      <c r="E22" s="787">
        <f t="shared" si="1"/>
        <v>26.995116629342533</v>
      </c>
      <c r="F22" s="787">
        <f t="shared" si="1"/>
        <v>291.06963504902177</v>
      </c>
      <c r="G22" s="787">
        <f t="shared" si="1"/>
        <v>0</v>
      </c>
      <c r="H22" s="787">
        <f t="shared" si="1"/>
        <v>106976.98316947486</v>
      </c>
      <c r="I22" s="787">
        <f t="shared" si="1"/>
        <v>16792.595364532201</v>
      </c>
      <c r="J22" s="787">
        <f t="shared" si="1"/>
        <v>0</v>
      </c>
      <c r="K22" s="787">
        <f t="shared" si="1"/>
        <v>0</v>
      </c>
      <c r="L22" s="787">
        <f t="shared" si="1"/>
        <v>0</v>
      </c>
      <c r="M22" s="787">
        <f t="shared" si="1"/>
        <v>0</v>
      </c>
      <c r="N22" s="787">
        <f t="shared" si="1"/>
        <v>6713.6230301728747</v>
      </c>
      <c r="O22" s="787">
        <f t="shared" si="1"/>
        <v>0</v>
      </c>
      <c r="P22" s="787">
        <f t="shared" si="1"/>
        <v>0</v>
      </c>
      <c r="Q22" s="787">
        <f t="shared" si="1"/>
        <v>0</v>
      </c>
      <c r="R22" s="787">
        <f t="shared" si="1"/>
        <v>130815.22957765561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5892.7782719999996</v>
      </c>
      <c r="D24" s="991">
        <f>+landbouw!C8</f>
        <v>0</v>
      </c>
      <c r="E24" s="991">
        <f>+landbouw!D8</f>
        <v>1095.6359530401903</v>
      </c>
      <c r="F24" s="991">
        <f>+landbouw!E8</f>
        <v>54.581380477678877</v>
      </c>
      <c r="G24" s="991">
        <f>+landbouw!F8</f>
        <v>14951.10104917281</v>
      </c>
      <c r="H24" s="991">
        <f>+landbouw!G8</f>
        <v>0</v>
      </c>
      <c r="I24" s="991">
        <f>+landbouw!H8</f>
        <v>0</v>
      </c>
      <c r="J24" s="991">
        <f>+landbouw!I8</f>
        <v>0</v>
      </c>
      <c r="K24" s="991">
        <f>+landbouw!J8</f>
        <v>903.42867269505291</v>
      </c>
      <c r="L24" s="991">
        <f>+landbouw!K8</f>
        <v>0</v>
      </c>
      <c r="M24" s="991">
        <f>+landbouw!L8</f>
        <v>0</v>
      </c>
      <c r="N24" s="991">
        <f>+landbouw!M8</f>
        <v>0</v>
      </c>
      <c r="O24" s="991">
        <f>+landbouw!N8</f>
        <v>0</v>
      </c>
      <c r="P24" s="991">
        <f>+landbouw!O8</f>
        <v>0</v>
      </c>
      <c r="Q24" s="992">
        <f>+landbouw!P8</f>
        <v>0</v>
      </c>
      <c r="R24" s="675">
        <f>SUM(C24:Q24)</f>
        <v>22897.525327385731</v>
      </c>
      <c r="S24" s="67"/>
    </row>
    <row r="25" spans="1:19" s="448" customFormat="1" ht="15" thickBot="1">
      <c r="A25" s="806" t="s">
        <v>849</v>
      </c>
      <c r="B25" s="994"/>
      <c r="C25" s="995">
        <f>IF(Onbekend_ele_kWh="---",0,Onbekend_ele_kWh)/1000+IF(REST_rest_ele_kWh="---",0,REST_rest_ele_kWh)/1000</f>
        <v>607.13790000000006</v>
      </c>
      <c r="D25" s="995"/>
      <c r="E25" s="995">
        <f>IF(onbekend_gas_kWh="---",0,onbekend_gas_kWh)/1000+IF(REST_rest_gas_kWh="---",0,REST_rest_gas_kWh)/1000</f>
        <v>854.16905936610704</v>
      </c>
      <c r="F25" s="995"/>
      <c r="G25" s="995"/>
      <c r="H25" s="995"/>
      <c r="I25" s="995"/>
      <c r="J25" s="995"/>
      <c r="K25" s="995"/>
      <c r="L25" s="995"/>
      <c r="M25" s="995"/>
      <c r="N25" s="995"/>
      <c r="O25" s="995"/>
      <c r="P25" s="995"/>
      <c r="Q25" s="996"/>
      <c r="R25" s="675">
        <f>SUM(C25:Q25)</f>
        <v>1461.3069593661071</v>
      </c>
      <c r="S25" s="67"/>
    </row>
    <row r="26" spans="1:19" s="448" customFormat="1" ht="15.75" thickBot="1">
      <c r="A26" s="680" t="s">
        <v>850</v>
      </c>
      <c r="B26" s="792"/>
      <c r="C26" s="787">
        <f>SUM(C24:C25)</f>
        <v>6499.9161719999993</v>
      </c>
      <c r="D26" s="787">
        <f t="shared" ref="D26:R26" si="2">SUM(D24:D25)</f>
        <v>0</v>
      </c>
      <c r="E26" s="787">
        <f t="shared" si="2"/>
        <v>1949.8050124062975</v>
      </c>
      <c r="F26" s="787">
        <f t="shared" si="2"/>
        <v>54.581380477678877</v>
      </c>
      <c r="G26" s="787">
        <f t="shared" si="2"/>
        <v>14951.10104917281</v>
      </c>
      <c r="H26" s="787">
        <f t="shared" si="2"/>
        <v>0</v>
      </c>
      <c r="I26" s="787">
        <f t="shared" si="2"/>
        <v>0</v>
      </c>
      <c r="J26" s="787">
        <f t="shared" si="2"/>
        <v>0</v>
      </c>
      <c r="K26" s="787">
        <f t="shared" si="2"/>
        <v>903.42867269505291</v>
      </c>
      <c r="L26" s="787">
        <f t="shared" si="2"/>
        <v>0</v>
      </c>
      <c r="M26" s="787">
        <f t="shared" si="2"/>
        <v>0</v>
      </c>
      <c r="N26" s="787">
        <f t="shared" si="2"/>
        <v>0</v>
      </c>
      <c r="O26" s="787">
        <f t="shared" si="2"/>
        <v>0</v>
      </c>
      <c r="P26" s="787">
        <f t="shared" si="2"/>
        <v>0</v>
      </c>
      <c r="Q26" s="787">
        <f t="shared" si="2"/>
        <v>0</v>
      </c>
      <c r="R26" s="787">
        <f t="shared" si="2"/>
        <v>24358.832286751836</v>
      </c>
      <c r="S26" s="67"/>
    </row>
    <row r="27" spans="1:19" s="448" customFormat="1" ht="17.25" thickTop="1" thickBot="1">
      <c r="A27" s="681" t="s">
        <v>115</v>
      </c>
      <c r="B27" s="780"/>
      <c r="C27" s="682">
        <f ca="1">C22+C16+C26</f>
        <v>128679.09954212869</v>
      </c>
      <c r="D27" s="682">
        <f t="shared" ref="D27:R27" ca="1" si="3">D22+D16+D26</f>
        <v>62.357142857142847</v>
      </c>
      <c r="E27" s="682">
        <f t="shared" ca="1" si="3"/>
        <v>124864.55428398945</v>
      </c>
      <c r="F27" s="682">
        <f t="shared" si="3"/>
        <v>36214.081872953793</v>
      </c>
      <c r="G27" s="682">
        <f t="shared" ca="1" si="3"/>
        <v>52093.349964699519</v>
      </c>
      <c r="H27" s="682">
        <f t="shared" si="3"/>
        <v>106976.98316947486</v>
      </c>
      <c r="I27" s="682">
        <f t="shared" si="3"/>
        <v>16792.595364532201</v>
      </c>
      <c r="J27" s="682">
        <f t="shared" si="3"/>
        <v>0</v>
      </c>
      <c r="K27" s="682">
        <f t="shared" si="3"/>
        <v>6086.983936775393</v>
      </c>
      <c r="L27" s="682">
        <f t="shared" si="3"/>
        <v>0</v>
      </c>
      <c r="M27" s="682">
        <f t="shared" ca="1" si="3"/>
        <v>0</v>
      </c>
      <c r="N27" s="682">
        <f t="shared" si="3"/>
        <v>6713.6230301728747</v>
      </c>
      <c r="O27" s="682">
        <f t="shared" ca="1" si="3"/>
        <v>27174.749295196245</v>
      </c>
      <c r="P27" s="682">
        <f t="shared" si="3"/>
        <v>323.61</v>
      </c>
      <c r="Q27" s="682">
        <f t="shared" si="3"/>
        <v>419.46666666666664</v>
      </c>
      <c r="R27" s="682">
        <f t="shared" ca="1" si="3"/>
        <v>506401.45426944684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2899.1793287618357</v>
      </c>
      <c r="D40" s="991">
        <f ca="1">tertiair!C20</f>
        <v>0</v>
      </c>
      <c r="E40" s="991">
        <f ca="1">tertiair!D20</f>
        <v>2019.9150202870328</v>
      </c>
      <c r="F40" s="991">
        <f>tertiair!E20</f>
        <v>26.255974703439243</v>
      </c>
      <c r="G40" s="991">
        <f ca="1">tertiair!F20</f>
        <v>601.6761374144362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5547.0264611667435</v>
      </c>
    </row>
    <row r="41" spans="1:18">
      <c r="A41" s="797" t="s">
        <v>224</v>
      </c>
      <c r="B41" s="804"/>
      <c r="C41" s="991">
        <f ca="1">huishoudens!B12</f>
        <v>4583.1193122309005</v>
      </c>
      <c r="D41" s="991">
        <f ca="1">huishoudens!C12</f>
        <v>0</v>
      </c>
      <c r="E41" s="991">
        <f>huishoudens!D12</f>
        <v>6448.4866279751468</v>
      </c>
      <c r="F41" s="991">
        <f>huishoudens!E12</f>
        <v>7347.7633234222849</v>
      </c>
      <c r="G41" s="991">
        <f>huishoudens!F12</f>
        <v>5109.0022696622354</v>
      </c>
      <c r="H41" s="991">
        <f>huishoudens!G12</f>
        <v>0</v>
      </c>
      <c r="I41" s="991">
        <f>huishoudens!H12</f>
        <v>0</v>
      </c>
      <c r="J41" s="991">
        <f>huishoudens!I12</f>
        <v>0</v>
      </c>
      <c r="K41" s="991">
        <f>huishoudens!J12</f>
        <v>1740.1673830638579</v>
      </c>
      <c r="L41" s="991">
        <f>huishoudens!K12</f>
        <v>0</v>
      </c>
      <c r="M41" s="991">
        <f>huishoudens!L12</f>
        <v>0</v>
      </c>
      <c r="N41" s="991">
        <f>huishoudens!M12</f>
        <v>0</v>
      </c>
      <c r="O41" s="991">
        <f>huishoudens!N12</f>
        <v>0</v>
      </c>
      <c r="P41" s="991">
        <f>huishoudens!O12</f>
        <v>0</v>
      </c>
      <c r="Q41" s="749">
        <f>huishoudens!P12</f>
        <v>0</v>
      </c>
      <c r="R41" s="825">
        <f t="shared" ca="1" si="4"/>
        <v>25228.538916354424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17982.710048518788</v>
      </c>
      <c r="D43" s="991">
        <f ca="1">industrie!C22</f>
        <v>0</v>
      </c>
      <c r="E43" s="991">
        <f>industrie!D22</f>
        <v>16354.92469103849</v>
      </c>
      <c r="F43" s="991">
        <f>industrie!E22</f>
        <v>768.11450651022619</v>
      </c>
      <c r="G43" s="991">
        <f>industrie!F22</f>
        <v>4206.3020533689596</v>
      </c>
      <c r="H43" s="991">
        <f>industrie!G22</f>
        <v>0</v>
      </c>
      <c r="I43" s="991">
        <f>industrie!H22</f>
        <v>0</v>
      </c>
      <c r="J43" s="991">
        <f>industrie!I22</f>
        <v>0</v>
      </c>
      <c r="K43" s="991">
        <f>industrie!J22</f>
        <v>94.811180420582403</v>
      </c>
      <c r="L43" s="991">
        <f>industrie!K22</f>
        <v>0</v>
      </c>
      <c r="M43" s="991">
        <f>industrie!L22</f>
        <v>0</v>
      </c>
      <c r="N43" s="991">
        <f>industrie!M22</f>
        <v>0</v>
      </c>
      <c r="O43" s="991">
        <f>industrie!N22</f>
        <v>0</v>
      </c>
      <c r="P43" s="991">
        <f>industrie!O22</f>
        <v>0</v>
      </c>
      <c r="Q43" s="749">
        <f>industrie!P22</f>
        <v>0</v>
      </c>
      <c r="R43" s="824">
        <f t="shared" ca="1" si="4"/>
        <v>39406.862479857053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25465.008689511524</v>
      </c>
      <c r="D46" s="707">
        <f t="shared" ref="D46:Q46" ca="1" si="5">SUM(D39:D45)</f>
        <v>0</v>
      </c>
      <c r="E46" s="707">
        <f t="shared" ca="1" si="5"/>
        <v>24823.326339300671</v>
      </c>
      <c r="F46" s="707">
        <f t="shared" si="5"/>
        <v>8142.1338046359506</v>
      </c>
      <c r="G46" s="707">
        <f t="shared" ca="1" si="5"/>
        <v>9916.9804604456313</v>
      </c>
      <c r="H46" s="707">
        <f t="shared" si="5"/>
        <v>0</v>
      </c>
      <c r="I46" s="707">
        <f t="shared" si="5"/>
        <v>0</v>
      </c>
      <c r="J46" s="707">
        <f t="shared" si="5"/>
        <v>0</v>
      </c>
      <c r="K46" s="707">
        <f t="shared" si="5"/>
        <v>1834.9785634844402</v>
      </c>
      <c r="L46" s="707">
        <f t="shared" si="5"/>
        <v>0</v>
      </c>
      <c r="M46" s="707">
        <f t="shared" ca="1" si="5"/>
        <v>0</v>
      </c>
      <c r="N46" s="707">
        <f t="shared" si="5"/>
        <v>0</v>
      </c>
      <c r="O46" s="707">
        <f t="shared" ca="1" si="5"/>
        <v>0</v>
      </c>
      <c r="P46" s="707">
        <f t="shared" si="5"/>
        <v>0</v>
      </c>
      <c r="Q46" s="707">
        <f t="shared" si="5"/>
        <v>0</v>
      </c>
      <c r="R46" s="707">
        <f ca="1">SUM(R39:R45)</f>
        <v>70182.427857378221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266.9165226094982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266.9165226094982</v>
      </c>
    </row>
    <row r="50" spans="1:18">
      <c r="A50" s="800" t="s">
        <v>306</v>
      </c>
      <c r="B50" s="810"/>
      <c r="C50" s="678">
        <f ca="1">transport!B18</f>
        <v>2.9106040384266683</v>
      </c>
      <c r="D50" s="678">
        <f>transport!C18</f>
        <v>0</v>
      </c>
      <c r="E50" s="678">
        <f>transport!D18</f>
        <v>5.453013559127192</v>
      </c>
      <c r="F50" s="678">
        <f>transport!E18</f>
        <v>66.072807156127951</v>
      </c>
      <c r="G50" s="678">
        <f>transport!F18</f>
        <v>0</v>
      </c>
      <c r="H50" s="678">
        <f>transport!G18</f>
        <v>28295.937983640288</v>
      </c>
      <c r="I50" s="678">
        <f>transport!H18</f>
        <v>4181.3562457685175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32551.730654162489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2.9106040384266683</v>
      </c>
      <c r="D52" s="707">
        <f t="shared" ref="D52:Q52" ca="1" si="6">SUM(D48:D51)</f>
        <v>0</v>
      </c>
      <c r="E52" s="707">
        <f t="shared" si="6"/>
        <v>5.453013559127192</v>
      </c>
      <c r="F52" s="707">
        <f t="shared" si="6"/>
        <v>66.072807156127951</v>
      </c>
      <c r="G52" s="707">
        <f t="shared" si="6"/>
        <v>0</v>
      </c>
      <c r="H52" s="707">
        <f t="shared" si="6"/>
        <v>28562.854506249787</v>
      </c>
      <c r="I52" s="707">
        <f t="shared" si="6"/>
        <v>4181.3562457685175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32818.647176771985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1228.3336433133554</v>
      </c>
      <c r="D54" s="678">
        <f ca="1">+landbouw!C12</f>
        <v>0</v>
      </c>
      <c r="E54" s="678">
        <f>+landbouw!D12</f>
        <v>221.31846251411847</v>
      </c>
      <c r="F54" s="678">
        <f>+landbouw!E12</f>
        <v>12.389973368433106</v>
      </c>
      <c r="G54" s="678">
        <f>+landbouw!F12</f>
        <v>3991.9439801291405</v>
      </c>
      <c r="H54" s="678">
        <f>+landbouw!G12</f>
        <v>0</v>
      </c>
      <c r="I54" s="678">
        <f>+landbouw!H12</f>
        <v>0</v>
      </c>
      <c r="J54" s="678">
        <f>+landbouw!I12</f>
        <v>0</v>
      </c>
      <c r="K54" s="678">
        <f>+landbouw!J12</f>
        <v>319.81375013404869</v>
      </c>
      <c r="L54" s="678">
        <f>+landbouw!K12</f>
        <v>0</v>
      </c>
      <c r="M54" s="678">
        <f>+landbouw!L12</f>
        <v>0</v>
      </c>
      <c r="N54" s="678">
        <f>+landbouw!M12</f>
        <v>0</v>
      </c>
      <c r="O54" s="678">
        <f>+landbouw!N12</f>
        <v>0</v>
      </c>
      <c r="P54" s="678">
        <f>+landbouw!O12</f>
        <v>0</v>
      </c>
      <c r="Q54" s="679">
        <f>+landbouw!P12</f>
        <v>0</v>
      </c>
      <c r="R54" s="706">
        <f ca="1">SUM(C54:Q54)</f>
        <v>5773.7998094590967</v>
      </c>
    </row>
    <row r="55" spans="1:18" ht="15" thickBot="1">
      <c r="A55" s="800" t="s">
        <v>849</v>
      </c>
      <c r="B55" s="810"/>
      <c r="C55" s="678">
        <f ca="1">C25*'EF ele_warmte'!B12</f>
        <v>126.55624805097365</v>
      </c>
      <c r="D55" s="678"/>
      <c r="E55" s="678">
        <f>E25*EF_CO2_aardgas</f>
        <v>172.54214999195364</v>
      </c>
      <c r="F55" s="678"/>
      <c r="G55" s="678"/>
      <c r="H55" s="678"/>
      <c r="I55" s="678"/>
      <c r="J55" s="678"/>
      <c r="K55" s="678"/>
      <c r="L55" s="678"/>
      <c r="M55" s="678"/>
      <c r="N55" s="678"/>
      <c r="O55" s="678"/>
      <c r="P55" s="678"/>
      <c r="Q55" s="679"/>
      <c r="R55" s="706">
        <f ca="1">SUM(C55:Q55)</f>
        <v>299.09839804292727</v>
      </c>
    </row>
    <row r="56" spans="1:18" ht="15.75" thickBot="1">
      <c r="A56" s="798" t="s">
        <v>850</v>
      </c>
      <c r="B56" s="811"/>
      <c r="C56" s="707">
        <f ca="1">SUM(C54:C55)</f>
        <v>1354.8898913643291</v>
      </c>
      <c r="D56" s="707">
        <f t="shared" ref="D56:Q56" ca="1" si="7">SUM(D54:D55)</f>
        <v>0</v>
      </c>
      <c r="E56" s="707">
        <f t="shared" si="7"/>
        <v>393.86061250607213</v>
      </c>
      <c r="F56" s="707">
        <f t="shared" si="7"/>
        <v>12.389973368433106</v>
      </c>
      <c r="G56" s="707">
        <f t="shared" si="7"/>
        <v>3991.9439801291405</v>
      </c>
      <c r="H56" s="707">
        <f t="shared" si="7"/>
        <v>0</v>
      </c>
      <c r="I56" s="707">
        <f t="shared" si="7"/>
        <v>0</v>
      </c>
      <c r="J56" s="707">
        <f t="shared" si="7"/>
        <v>0</v>
      </c>
      <c r="K56" s="707">
        <f t="shared" si="7"/>
        <v>319.81375013404869</v>
      </c>
      <c r="L56" s="707">
        <f t="shared" si="7"/>
        <v>0</v>
      </c>
      <c r="M56" s="707">
        <f t="shared" si="7"/>
        <v>0</v>
      </c>
      <c r="N56" s="707">
        <f t="shared" si="7"/>
        <v>0</v>
      </c>
      <c r="O56" s="707">
        <f t="shared" si="7"/>
        <v>0</v>
      </c>
      <c r="P56" s="707">
        <f t="shared" si="7"/>
        <v>0</v>
      </c>
      <c r="Q56" s="708">
        <f t="shared" si="7"/>
        <v>0</v>
      </c>
      <c r="R56" s="709">
        <f ca="1">SUM(R54:R55)</f>
        <v>6072.898207502024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26822.809184914277</v>
      </c>
      <c r="D61" s="715">
        <f t="shared" ref="D61:Q61" ca="1" si="8">D46+D52+D56</f>
        <v>0</v>
      </c>
      <c r="E61" s="715">
        <f t="shared" ca="1" si="8"/>
        <v>25222.63996536587</v>
      </c>
      <c r="F61" s="715">
        <f t="shared" si="8"/>
        <v>8220.5965851605124</v>
      </c>
      <c r="G61" s="715">
        <f t="shared" ca="1" si="8"/>
        <v>13908.924440574772</v>
      </c>
      <c r="H61" s="715">
        <f t="shared" si="8"/>
        <v>28562.854506249787</v>
      </c>
      <c r="I61" s="715">
        <f t="shared" si="8"/>
        <v>4181.3562457685175</v>
      </c>
      <c r="J61" s="715">
        <f t="shared" si="8"/>
        <v>0</v>
      </c>
      <c r="K61" s="715">
        <f t="shared" si="8"/>
        <v>2154.7923136184891</v>
      </c>
      <c r="L61" s="715">
        <f t="shared" si="8"/>
        <v>0</v>
      </c>
      <c r="M61" s="715">
        <f t="shared" ca="1" si="8"/>
        <v>0</v>
      </c>
      <c r="N61" s="715">
        <f t="shared" si="8"/>
        <v>0</v>
      </c>
      <c r="O61" s="715">
        <f t="shared" ca="1" si="8"/>
        <v>0</v>
      </c>
      <c r="P61" s="715">
        <f t="shared" si="8"/>
        <v>0</v>
      </c>
      <c r="Q61" s="715">
        <f t="shared" si="8"/>
        <v>0</v>
      </c>
      <c r="R61" s="715">
        <f ca="1">R46+R52+R56</f>
        <v>109073.97324165223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0.20844728693592285</v>
      </c>
      <c r="D63" s="756">
        <f t="shared" ca="1" si="9"/>
        <v>0</v>
      </c>
      <c r="E63" s="1002">
        <f t="shared" ca="1" si="9"/>
        <v>0.20200000000000001</v>
      </c>
      <c r="F63" s="756">
        <f t="shared" si="9"/>
        <v>0.22700000000000004</v>
      </c>
      <c r="G63" s="756">
        <f t="shared" ca="1" si="9"/>
        <v>0.26700000000000002</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7265.2722348242751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7308.9222348242747</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21986.946338331385</v>
      </c>
      <c r="C4" s="452">
        <f>huishoudens!C8</f>
        <v>0</v>
      </c>
      <c r="D4" s="452">
        <f>huishoudens!D8</f>
        <v>31923.201128589833</v>
      </c>
      <c r="E4" s="452">
        <f>huishoudens!E8</f>
        <v>32369.001424767775</v>
      </c>
      <c r="F4" s="452">
        <f>huishoudens!F8</f>
        <v>19134.839961281781</v>
      </c>
      <c r="G4" s="452">
        <f>huishoudens!G8</f>
        <v>0</v>
      </c>
      <c r="H4" s="452">
        <f>huishoudens!H8</f>
        <v>0</v>
      </c>
      <c r="I4" s="452">
        <f>huishoudens!I8</f>
        <v>0</v>
      </c>
      <c r="J4" s="452">
        <f>huishoudens!J8</f>
        <v>4915.7270708018586</v>
      </c>
      <c r="K4" s="452">
        <f>huishoudens!K8</f>
        <v>0</v>
      </c>
      <c r="L4" s="452">
        <f>huishoudens!L8</f>
        <v>0</v>
      </c>
      <c r="M4" s="452">
        <f>huishoudens!M8</f>
        <v>0</v>
      </c>
      <c r="N4" s="452">
        <f>huishoudens!N8</f>
        <v>20038.919226205428</v>
      </c>
      <c r="O4" s="452">
        <f>huishoudens!O8</f>
        <v>322.04666666666668</v>
      </c>
      <c r="P4" s="453">
        <f>huishoudens!P8</f>
        <v>400.4</v>
      </c>
      <c r="Q4" s="454">
        <f>SUM(B4:P4)</f>
        <v>131091.08181664473</v>
      </c>
    </row>
    <row r="5" spans="1:17">
      <c r="A5" s="451" t="s">
        <v>155</v>
      </c>
      <c r="B5" s="452">
        <f ca="1">tertiair!B16</f>
        <v>13018.97617</v>
      </c>
      <c r="C5" s="452">
        <f ca="1">tertiair!C16</f>
        <v>62.357142857142847</v>
      </c>
      <c r="D5" s="452">
        <f ca="1">tertiair!D16</f>
        <v>9999.5793083516473</v>
      </c>
      <c r="E5" s="452">
        <f>tertiair!E16</f>
        <v>115.66508679929181</v>
      </c>
      <c r="F5" s="452">
        <f ca="1">tertiair!F16</f>
        <v>2253.468679454817</v>
      </c>
      <c r="G5" s="452">
        <f>tertiair!G16</f>
        <v>0</v>
      </c>
      <c r="H5" s="452">
        <f>tertiair!H16</f>
        <v>0</v>
      </c>
      <c r="I5" s="452">
        <f>tertiair!I16</f>
        <v>0</v>
      </c>
      <c r="J5" s="452">
        <f>tertiair!J16</f>
        <v>0</v>
      </c>
      <c r="K5" s="452">
        <f>tertiair!K16</f>
        <v>0</v>
      </c>
      <c r="L5" s="452">
        <f ca="1">tertiair!L16</f>
        <v>0</v>
      </c>
      <c r="M5" s="452">
        <f>tertiair!M16</f>
        <v>0</v>
      </c>
      <c r="N5" s="452">
        <f ca="1">tertiair!N16</f>
        <v>3576.6488744720696</v>
      </c>
      <c r="O5" s="452">
        <f>tertiair!O16</f>
        <v>1.5633333333333335</v>
      </c>
      <c r="P5" s="453">
        <f>tertiair!P16</f>
        <v>19.066666666666666</v>
      </c>
      <c r="Q5" s="451">
        <f t="shared" ref="Q5:Q14" ca="1" si="0">SUM(B5:P5)</f>
        <v>29047.325261934966</v>
      </c>
    </row>
    <row r="6" spans="1:17">
      <c r="A6" s="451" t="s">
        <v>193</v>
      </c>
      <c r="B6" s="452">
        <f>'openbare verlichting'!B8</f>
        <v>889.47699999999998</v>
      </c>
      <c r="C6" s="452"/>
      <c r="D6" s="452"/>
      <c r="E6" s="452"/>
      <c r="F6" s="452"/>
      <c r="G6" s="452"/>
      <c r="H6" s="452"/>
      <c r="I6" s="452"/>
      <c r="J6" s="452"/>
      <c r="K6" s="452"/>
      <c r="L6" s="452"/>
      <c r="M6" s="452"/>
      <c r="N6" s="452"/>
      <c r="O6" s="452"/>
      <c r="P6" s="453"/>
      <c r="Q6" s="451">
        <f t="shared" si="0"/>
        <v>889.47699999999998</v>
      </c>
    </row>
    <row r="7" spans="1:17">
      <c r="A7" s="451" t="s">
        <v>111</v>
      </c>
      <c r="B7" s="452">
        <f>landbouw!B8</f>
        <v>5892.7782719999996</v>
      </c>
      <c r="C7" s="452">
        <f>landbouw!C8</f>
        <v>0</v>
      </c>
      <c r="D7" s="452">
        <f>landbouw!D8</f>
        <v>1095.6359530401903</v>
      </c>
      <c r="E7" s="452">
        <f>landbouw!E8</f>
        <v>54.581380477678877</v>
      </c>
      <c r="F7" s="452">
        <f>landbouw!F8</f>
        <v>14951.10104917281</v>
      </c>
      <c r="G7" s="452">
        <f>landbouw!G8</f>
        <v>0</v>
      </c>
      <c r="H7" s="452">
        <f>landbouw!H8</f>
        <v>0</v>
      </c>
      <c r="I7" s="452">
        <f>landbouw!I8</f>
        <v>0</v>
      </c>
      <c r="J7" s="452">
        <f>landbouw!J8</f>
        <v>903.42867269505291</v>
      </c>
      <c r="K7" s="452">
        <f>landbouw!K8</f>
        <v>0</v>
      </c>
      <c r="L7" s="452">
        <f>landbouw!L8</f>
        <v>0</v>
      </c>
      <c r="M7" s="452">
        <f>landbouw!M8</f>
        <v>0</v>
      </c>
      <c r="N7" s="452">
        <f>landbouw!N8</f>
        <v>0</v>
      </c>
      <c r="O7" s="452">
        <f>landbouw!O8</f>
        <v>0</v>
      </c>
      <c r="P7" s="453">
        <f>landbouw!P8</f>
        <v>0</v>
      </c>
      <c r="Q7" s="451">
        <f t="shared" si="0"/>
        <v>22897.525327385731</v>
      </c>
    </row>
    <row r="8" spans="1:17">
      <c r="A8" s="451" t="s">
        <v>649</v>
      </c>
      <c r="B8" s="452">
        <f>industrie!B18</f>
        <v>86269.820600000006</v>
      </c>
      <c r="C8" s="452">
        <f>industrie!C18</f>
        <v>0</v>
      </c>
      <c r="D8" s="452">
        <f>industrie!D18</f>
        <v>80964.973718012319</v>
      </c>
      <c r="E8" s="452">
        <f>industrie!E18</f>
        <v>3383.7643458600273</v>
      </c>
      <c r="F8" s="452">
        <f>industrie!F18</f>
        <v>15753.940274790111</v>
      </c>
      <c r="G8" s="452">
        <f>industrie!G18</f>
        <v>0</v>
      </c>
      <c r="H8" s="452">
        <f>industrie!H18</f>
        <v>0</v>
      </c>
      <c r="I8" s="452">
        <f>industrie!I18</f>
        <v>0</v>
      </c>
      <c r="J8" s="452">
        <f>industrie!J18</f>
        <v>267.82819327848136</v>
      </c>
      <c r="K8" s="452">
        <f>industrie!K18</f>
        <v>0</v>
      </c>
      <c r="L8" s="452">
        <f>industrie!L18</f>
        <v>0</v>
      </c>
      <c r="M8" s="452">
        <f>industrie!M18</f>
        <v>0</v>
      </c>
      <c r="N8" s="452">
        <f>industrie!N18</f>
        <v>3559.1811945187469</v>
      </c>
      <c r="O8" s="452">
        <f>industrie!O18</f>
        <v>0</v>
      </c>
      <c r="P8" s="453">
        <f>industrie!P18</f>
        <v>0</v>
      </c>
      <c r="Q8" s="451">
        <f t="shared" si="0"/>
        <v>190199.50832645968</v>
      </c>
    </row>
    <row r="9" spans="1:17" s="457" customFormat="1">
      <c r="A9" s="455" t="s">
        <v>570</v>
      </c>
      <c r="B9" s="456">
        <f>transport!B14</f>
        <v>13.963261797316624</v>
      </c>
      <c r="C9" s="456">
        <f>transport!C14</f>
        <v>0</v>
      </c>
      <c r="D9" s="456">
        <f>transport!D14</f>
        <v>26.995116629342533</v>
      </c>
      <c r="E9" s="456">
        <f>transport!E14</f>
        <v>291.06963504902177</v>
      </c>
      <c r="F9" s="456">
        <f>transport!F14</f>
        <v>0</v>
      </c>
      <c r="G9" s="456">
        <f>transport!G14</f>
        <v>105977.29581887748</v>
      </c>
      <c r="H9" s="456">
        <f>transport!H14</f>
        <v>16792.595364532201</v>
      </c>
      <c r="I9" s="456">
        <f>transport!I14</f>
        <v>0</v>
      </c>
      <c r="J9" s="456">
        <f>transport!J14</f>
        <v>0</v>
      </c>
      <c r="K9" s="456">
        <f>transport!K14</f>
        <v>0</v>
      </c>
      <c r="L9" s="456">
        <f>transport!L14</f>
        <v>0</v>
      </c>
      <c r="M9" s="456">
        <f>transport!M14</f>
        <v>6656.4839439690049</v>
      </c>
      <c r="N9" s="456">
        <f>transport!N14</f>
        <v>0</v>
      </c>
      <c r="O9" s="456">
        <f>transport!O14</f>
        <v>0</v>
      </c>
      <c r="P9" s="456">
        <f>transport!P14</f>
        <v>0</v>
      </c>
      <c r="Q9" s="455">
        <f>SUM(B9:P9)</f>
        <v>129758.40314085437</v>
      </c>
    </row>
    <row r="10" spans="1:17">
      <c r="A10" s="451" t="s">
        <v>560</v>
      </c>
      <c r="B10" s="452">
        <f>transport!B54</f>
        <v>0</v>
      </c>
      <c r="C10" s="452">
        <f>transport!C54</f>
        <v>0</v>
      </c>
      <c r="D10" s="452">
        <f>transport!D54</f>
        <v>0</v>
      </c>
      <c r="E10" s="452">
        <f>transport!E54</f>
        <v>0</v>
      </c>
      <c r="F10" s="452">
        <f>transport!F54</f>
        <v>0</v>
      </c>
      <c r="G10" s="452">
        <f>transport!G54</f>
        <v>999.68735059737151</v>
      </c>
      <c r="H10" s="452">
        <f>transport!H54</f>
        <v>0</v>
      </c>
      <c r="I10" s="452">
        <f>transport!I54</f>
        <v>0</v>
      </c>
      <c r="J10" s="452">
        <f>transport!J54</f>
        <v>0</v>
      </c>
      <c r="K10" s="452">
        <f>transport!K54</f>
        <v>0</v>
      </c>
      <c r="L10" s="452">
        <f>transport!L54</f>
        <v>0</v>
      </c>
      <c r="M10" s="452">
        <f>transport!M54</f>
        <v>57.139086203869873</v>
      </c>
      <c r="N10" s="452">
        <f>transport!N54</f>
        <v>0</v>
      </c>
      <c r="O10" s="452">
        <f>transport!O54</f>
        <v>0</v>
      </c>
      <c r="P10" s="453">
        <f>transport!P54</f>
        <v>0</v>
      </c>
      <c r="Q10" s="451">
        <f t="shared" si="0"/>
        <v>1056.8264368012415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607.13790000000006</v>
      </c>
      <c r="C14" s="459"/>
      <c r="D14" s="459">
        <f>'SEAP template'!E25</f>
        <v>854.16905936610704</v>
      </c>
      <c r="E14" s="459"/>
      <c r="F14" s="459"/>
      <c r="G14" s="459"/>
      <c r="H14" s="459"/>
      <c r="I14" s="459"/>
      <c r="J14" s="459"/>
      <c r="K14" s="459"/>
      <c r="L14" s="459"/>
      <c r="M14" s="459"/>
      <c r="N14" s="459"/>
      <c r="O14" s="459"/>
      <c r="P14" s="460"/>
      <c r="Q14" s="451">
        <f t="shared" si="0"/>
        <v>1461.3069593661071</v>
      </c>
    </row>
    <row r="15" spans="1:17" s="461" customFormat="1">
      <c r="A15" s="1017" t="s">
        <v>564</v>
      </c>
      <c r="B15" s="957">
        <f ca="1">SUM(B4:B14)</f>
        <v>128679.09954212871</v>
      </c>
      <c r="C15" s="957">
        <f t="shared" ref="C15:Q15" ca="1" si="1">SUM(C4:C14)</f>
        <v>62.357142857142847</v>
      </c>
      <c r="D15" s="957">
        <f t="shared" ca="1" si="1"/>
        <v>124864.55428398945</v>
      </c>
      <c r="E15" s="957">
        <f t="shared" si="1"/>
        <v>36214.081872953793</v>
      </c>
      <c r="F15" s="957">
        <f t="shared" ca="1" si="1"/>
        <v>52093.349964699519</v>
      </c>
      <c r="G15" s="957">
        <f t="shared" si="1"/>
        <v>106976.98316947486</v>
      </c>
      <c r="H15" s="957">
        <f t="shared" si="1"/>
        <v>16792.595364532201</v>
      </c>
      <c r="I15" s="957">
        <f t="shared" si="1"/>
        <v>0</v>
      </c>
      <c r="J15" s="957">
        <f t="shared" si="1"/>
        <v>6086.983936775393</v>
      </c>
      <c r="K15" s="957">
        <f t="shared" si="1"/>
        <v>0</v>
      </c>
      <c r="L15" s="957">
        <f t="shared" ca="1" si="1"/>
        <v>0</v>
      </c>
      <c r="M15" s="957">
        <f t="shared" si="1"/>
        <v>6713.6230301728747</v>
      </c>
      <c r="N15" s="957">
        <f t="shared" ca="1" si="1"/>
        <v>27174.749295196245</v>
      </c>
      <c r="O15" s="957">
        <f t="shared" si="1"/>
        <v>323.61</v>
      </c>
      <c r="P15" s="957">
        <f t="shared" si="1"/>
        <v>419.46666666666664</v>
      </c>
      <c r="Q15" s="957">
        <f t="shared" ca="1" si="1"/>
        <v>506401.4542694469</v>
      </c>
    </row>
    <row r="17" spans="1:17">
      <c r="A17" s="462" t="s">
        <v>565</v>
      </c>
      <c r="B17" s="761">
        <f ca="1">huishoudens!B10</f>
        <v>0.20844728693592285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4583.1193122309005</v>
      </c>
      <c r="C22" s="452">
        <f t="shared" ref="C22:C32" ca="1" si="3">C4*$C$17</f>
        <v>0</v>
      </c>
      <c r="D22" s="452">
        <f t="shared" ref="D22:D32" si="4">D4*$D$17</f>
        <v>6448.4866279751468</v>
      </c>
      <c r="E22" s="452">
        <f t="shared" ref="E22:E32" si="5">E4*$E$17</f>
        <v>7347.7633234222849</v>
      </c>
      <c r="F22" s="452">
        <f t="shared" ref="F22:F32" si="6">F4*$F$17</f>
        <v>5109.0022696622354</v>
      </c>
      <c r="G22" s="452">
        <f t="shared" ref="G22:G32" si="7">G4*$G$17</f>
        <v>0</v>
      </c>
      <c r="H22" s="452">
        <f t="shared" ref="H22:H32" si="8">H4*$H$17</f>
        <v>0</v>
      </c>
      <c r="I22" s="452">
        <f t="shared" ref="I22:I32" si="9">I4*$I$17</f>
        <v>0</v>
      </c>
      <c r="J22" s="452">
        <f t="shared" ref="J22:J32" si="10">J4*$J$17</f>
        <v>1740.1673830638579</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25228.538916354424</v>
      </c>
    </row>
    <row r="23" spans="1:17">
      <c r="A23" s="451" t="s">
        <v>155</v>
      </c>
      <c r="B23" s="452">
        <f t="shared" ca="1" si="2"/>
        <v>2713.7702613199317</v>
      </c>
      <c r="C23" s="452">
        <f t="shared" ca="1" si="3"/>
        <v>0</v>
      </c>
      <c r="D23" s="452">
        <f t="shared" ca="1" si="4"/>
        <v>2019.9150202870328</v>
      </c>
      <c r="E23" s="452">
        <f t="shared" si="5"/>
        <v>26.255974703439243</v>
      </c>
      <c r="F23" s="452">
        <f t="shared" ca="1" si="6"/>
        <v>601.6761374144362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5361.6173937248395</v>
      </c>
    </row>
    <row r="24" spans="1:17">
      <c r="A24" s="451" t="s">
        <v>193</v>
      </c>
      <c r="B24" s="452">
        <f t="shared" ca="1" si="2"/>
        <v>185.40906744190383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185.40906744190383</v>
      </c>
    </row>
    <row r="25" spans="1:17">
      <c r="A25" s="451" t="s">
        <v>111</v>
      </c>
      <c r="B25" s="452">
        <f t="shared" ca="1" si="2"/>
        <v>1228.3336433133554</v>
      </c>
      <c r="C25" s="452">
        <f t="shared" ca="1" si="3"/>
        <v>0</v>
      </c>
      <c r="D25" s="452">
        <f t="shared" si="4"/>
        <v>221.31846251411847</v>
      </c>
      <c r="E25" s="452">
        <f t="shared" si="5"/>
        <v>12.389973368433106</v>
      </c>
      <c r="F25" s="452">
        <f t="shared" si="6"/>
        <v>3991.9439801291405</v>
      </c>
      <c r="G25" s="452">
        <f t="shared" si="7"/>
        <v>0</v>
      </c>
      <c r="H25" s="452">
        <f t="shared" si="8"/>
        <v>0</v>
      </c>
      <c r="I25" s="452">
        <f t="shared" si="9"/>
        <v>0</v>
      </c>
      <c r="J25" s="452">
        <f t="shared" si="10"/>
        <v>319.81375013404869</v>
      </c>
      <c r="K25" s="452">
        <f t="shared" si="11"/>
        <v>0</v>
      </c>
      <c r="L25" s="452">
        <f t="shared" si="12"/>
        <v>0</v>
      </c>
      <c r="M25" s="452">
        <f t="shared" si="13"/>
        <v>0</v>
      </c>
      <c r="N25" s="452">
        <f t="shared" si="14"/>
        <v>0</v>
      </c>
      <c r="O25" s="452">
        <f t="shared" si="15"/>
        <v>0</v>
      </c>
      <c r="P25" s="453">
        <f t="shared" si="16"/>
        <v>0</v>
      </c>
      <c r="Q25" s="451">
        <f t="shared" ca="1" si="17"/>
        <v>5773.7998094590967</v>
      </c>
    </row>
    <row r="26" spans="1:17">
      <c r="A26" s="451" t="s">
        <v>649</v>
      </c>
      <c r="B26" s="452">
        <f t="shared" ca="1" si="2"/>
        <v>17982.710048518788</v>
      </c>
      <c r="C26" s="452">
        <f t="shared" ca="1" si="3"/>
        <v>0</v>
      </c>
      <c r="D26" s="452">
        <f t="shared" si="4"/>
        <v>16354.92469103849</v>
      </c>
      <c r="E26" s="452">
        <f t="shared" si="5"/>
        <v>768.11450651022619</v>
      </c>
      <c r="F26" s="452">
        <f t="shared" si="6"/>
        <v>4206.3020533689596</v>
      </c>
      <c r="G26" s="452">
        <f t="shared" si="7"/>
        <v>0</v>
      </c>
      <c r="H26" s="452">
        <f t="shared" si="8"/>
        <v>0</v>
      </c>
      <c r="I26" s="452">
        <f t="shared" si="9"/>
        <v>0</v>
      </c>
      <c r="J26" s="452">
        <f t="shared" si="10"/>
        <v>94.811180420582403</v>
      </c>
      <c r="K26" s="452">
        <f t="shared" si="11"/>
        <v>0</v>
      </c>
      <c r="L26" s="452">
        <f t="shared" si="12"/>
        <v>0</v>
      </c>
      <c r="M26" s="452">
        <f t="shared" si="13"/>
        <v>0</v>
      </c>
      <c r="N26" s="452">
        <f t="shared" si="14"/>
        <v>0</v>
      </c>
      <c r="O26" s="452">
        <f t="shared" si="15"/>
        <v>0</v>
      </c>
      <c r="P26" s="453">
        <f t="shared" si="16"/>
        <v>0</v>
      </c>
      <c r="Q26" s="451">
        <f t="shared" ca="1" si="17"/>
        <v>39406.862479857053</v>
      </c>
    </row>
    <row r="27" spans="1:17" s="457" customFormat="1">
      <c r="A27" s="455" t="s">
        <v>570</v>
      </c>
      <c r="B27" s="755">
        <f t="shared" ca="1" si="2"/>
        <v>2.9106040384266683</v>
      </c>
      <c r="C27" s="456">
        <f t="shared" ca="1" si="3"/>
        <v>0</v>
      </c>
      <c r="D27" s="456">
        <f t="shared" si="4"/>
        <v>5.453013559127192</v>
      </c>
      <c r="E27" s="456">
        <f t="shared" si="5"/>
        <v>66.072807156127951</v>
      </c>
      <c r="F27" s="456">
        <f t="shared" si="6"/>
        <v>0</v>
      </c>
      <c r="G27" s="456">
        <f t="shared" si="7"/>
        <v>28295.937983640288</v>
      </c>
      <c r="H27" s="456">
        <f t="shared" si="8"/>
        <v>4181.3562457685175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32551.730654162489</v>
      </c>
    </row>
    <row r="28" spans="1:17">
      <c r="A28" s="451" t="s">
        <v>560</v>
      </c>
      <c r="B28" s="452">
        <f t="shared" ca="1" si="2"/>
        <v>0</v>
      </c>
      <c r="C28" s="452">
        <f t="shared" ca="1" si="3"/>
        <v>0</v>
      </c>
      <c r="D28" s="452">
        <f t="shared" si="4"/>
        <v>0</v>
      </c>
      <c r="E28" s="452">
        <f t="shared" si="5"/>
        <v>0</v>
      </c>
      <c r="F28" s="452">
        <f t="shared" si="6"/>
        <v>0</v>
      </c>
      <c r="G28" s="452">
        <f t="shared" si="7"/>
        <v>266.9165226094982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266.9165226094982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126.55624805097365</v>
      </c>
      <c r="C32" s="452">
        <f t="shared" ca="1" si="3"/>
        <v>0</v>
      </c>
      <c r="D32" s="452">
        <f t="shared" si="4"/>
        <v>172.54214999195364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299.09839804292727</v>
      </c>
    </row>
    <row r="33" spans="1:17" s="461" customFormat="1">
      <c r="A33" s="1017" t="s">
        <v>564</v>
      </c>
      <c r="B33" s="957">
        <f ca="1">SUM(B22:B32)</f>
        <v>26822.809184914277</v>
      </c>
      <c r="C33" s="957">
        <f t="shared" ref="C33:Q33" ca="1" si="18">SUM(C22:C32)</f>
        <v>0</v>
      </c>
      <c r="D33" s="957">
        <f t="shared" ca="1" si="18"/>
        <v>25222.639965365866</v>
      </c>
      <c r="E33" s="957">
        <f t="shared" si="18"/>
        <v>8220.5965851605106</v>
      </c>
      <c r="F33" s="957">
        <f t="shared" ca="1" si="18"/>
        <v>13908.924440574772</v>
      </c>
      <c r="G33" s="957">
        <f t="shared" si="18"/>
        <v>28562.854506249787</v>
      </c>
      <c r="H33" s="957">
        <f t="shared" si="18"/>
        <v>4181.3562457685175</v>
      </c>
      <c r="I33" s="957">
        <f t="shared" si="18"/>
        <v>0</v>
      </c>
      <c r="J33" s="957">
        <f t="shared" si="18"/>
        <v>2154.7923136184891</v>
      </c>
      <c r="K33" s="957">
        <f t="shared" si="18"/>
        <v>0</v>
      </c>
      <c r="L33" s="957">
        <f t="shared" ca="1" si="18"/>
        <v>0</v>
      </c>
      <c r="M33" s="957">
        <f t="shared" si="18"/>
        <v>0</v>
      </c>
      <c r="N33" s="957">
        <f t="shared" ca="1" si="18"/>
        <v>0</v>
      </c>
      <c r="O33" s="957">
        <f t="shared" si="18"/>
        <v>0</v>
      </c>
      <c r="P33" s="957">
        <f t="shared" si="18"/>
        <v>0</v>
      </c>
      <c r="Q33" s="957">
        <f t="shared" ca="1" si="18"/>
        <v>109073.97324165222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7265.2722348242751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7308.9222348242747</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0.20844728693592285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0.20844728693592285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0.20844728693592285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0.20844728693592285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4892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5008</v>
      </c>
      <c r="C14" s="330"/>
      <c r="D14" s="330"/>
      <c r="E14" s="330"/>
      <c r="F14" s="330"/>
    </row>
    <row r="15" spans="1:6">
      <c r="A15" s="1305" t="s">
        <v>183</v>
      </c>
      <c r="B15" s="1306">
        <v>52</v>
      </c>
      <c r="C15" s="330"/>
      <c r="D15" s="330"/>
      <c r="E15" s="330"/>
      <c r="F15" s="330"/>
    </row>
    <row r="16" spans="1:6">
      <c r="A16" s="1305" t="s">
        <v>6</v>
      </c>
      <c r="B16" s="1306">
        <v>1913</v>
      </c>
      <c r="C16" s="330"/>
      <c r="D16" s="330"/>
      <c r="E16" s="330"/>
      <c r="F16" s="330"/>
    </row>
    <row r="17" spans="1:6">
      <c r="A17" s="1305" t="s">
        <v>7</v>
      </c>
      <c r="B17" s="1306">
        <v>1360</v>
      </c>
      <c r="C17" s="330"/>
      <c r="D17" s="330"/>
      <c r="E17" s="330"/>
      <c r="F17" s="330"/>
    </row>
    <row r="18" spans="1:6">
      <c r="A18" s="1305" t="s">
        <v>8</v>
      </c>
      <c r="B18" s="1306">
        <v>1982</v>
      </c>
      <c r="C18" s="330"/>
      <c r="D18" s="330"/>
      <c r="E18" s="330"/>
      <c r="F18" s="330"/>
    </row>
    <row r="19" spans="1:6">
      <c r="A19" s="1305" t="s">
        <v>9</v>
      </c>
      <c r="B19" s="1306">
        <v>1776</v>
      </c>
      <c r="C19" s="330"/>
      <c r="D19" s="330"/>
      <c r="E19" s="330"/>
      <c r="F19" s="330"/>
    </row>
    <row r="20" spans="1:6">
      <c r="A20" s="1305" t="s">
        <v>10</v>
      </c>
      <c r="B20" s="1306">
        <v>1429</v>
      </c>
      <c r="C20" s="330"/>
      <c r="D20" s="330"/>
      <c r="E20" s="330"/>
      <c r="F20" s="330"/>
    </row>
    <row r="21" spans="1:6">
      <c r="A21" s="1305" t="s">
        <v>11</v>
      </c>
      <c r="B21" s="1306">
        <v>29278</v>
      </c>
      <c r="C21" s="330"/>
      <c r="D21" s="330"/>
      <c r="E21" s="330"/>
      <c r="F21" s="330"/>
    </row>
    <row r="22" spans="1:6">
      <c r="A22" s="1305" t="s">
        <v>12</v>
      </c>
      <c r="B22" s="1306">
        <v>71511</v>
      </c>
      <c r="C22" s="330"/>
      <c r="D22" s="330"/>
      <c r="E22" s="330"/>
      <c r="F22" s="330"/>
    </row>
    <row r="23" spans="1:6">
      <c r="A23" s="1305" t="s">
        <v>13</v>
      </c>
      <c r="B23" s="1306">
        <v>687</v>
      </c>
      <c r="C23" s="330"/>
      <c r="D23" s="330"/>
      <c r="E23" s="330"/>
      <c r="F23" s="330"/>
    </row>
    <row r="24" spans="1:6">
      <c r="A24" s="1305" t="s">
        <v>14</v>
      </c>
      <c r="B24" s="1306">
        <v>122</v>
      </c>
      <c r="C24" s="330"/>
      <c r="D24" s="330"/>
      <c r="E24" s="330"/>
      <c r="F24" s="330"/>
    </row>
    <row r="25" spans="1:6">
      <c r="A25" s="1305" t="s">
        <v>15</v>
      </c>
      <c r="B25" s="1306">
        <v>5915</v>
      </c>
      <c r="C25" s="330"/>
      <c r="D25" s="330"/>
      <c r="E25" s="330"/>
      <c r="F25" s="330"/>
    </row>
    <row r="26" spans="1:6">
      <c r="A26" s="1305" t="s">
        <v>16</v>
      </c>
      <c r="B26" s="1306">
        <v>1212</v>
      </c>
      <c r="C26" s="330"/>
      <c r="D26" s="330"/>
      <c r="E26" s="330"/>
      <c r="F26" s="330"/>
    </row>
    <row r="27" spans="1:6">
      <c r="A27" s="1305" t="s">
        <v>17</v>
      </c>
      <c r="B27" s="1306">
        <v>5</v>
      </c>
      <c r="C27" s="330"/>
      <c r="D27" s="330"/>
      <c r="E27" s="330"/>
      <c r="F27" s="330"/>
    </row>
    <row r="28" spans="1:6" s="43" customFormat="1">
      <c r="A28" s="1307" t="s">
        <v>18</v>
      </c>
      <c r="B28" s="1308">
        <v>322540</v>
      </c>
      <c r="C28" s="336"/>
      <c r="D28" s="336"/>
      <c r="E28" s="336"/>
      <c r="F28" s="336"/>
    </row>
    <row r="29" spans="1:6">
      <c r="A29" s="1307" t="s">
        <v>909</v>
      </c>
      <c r="B29" s="1308">
        <v>271</v>
      </c>
      <c r="C29" s="336"/>
      <c r="D29" s="336"/>
      <c r="E29" s="336"/>
      <c r="F29" s="336"/>
    </row>
    <row r="30" spans="1:6">
      <c r="A30" s="1300" t="s">
        <v>910</v>
      </c>
      <c r="B30" s="1309">
        <v>39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5</v>
      </c>
      <c r="F36" s="1306">
        <v>19217.07</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6139.3890000000001</v>
      </c>
    </row>
    <row r="39" spans="1:6">
      <c r="A39" s="1305" t="s">
        <v>29</v>
      </c>
      <c r="B39" s="1305" t="s">
        <v>30</v>
      </c>
      <c r="C39" s="1306">
        <v>2478</v>
      </c>
      <c r="D39" s="1306">
        <v>35391575.530587398</v>
      </c>
      <c r="E39" s="1306">
        <v>4470</v>
      </c>
      <c r="F39" s="1306">
        <v>18137211</v>
      </c>
    </row>
    <row r="40" spans="1:6">
      <c r="A40" s="1305" t="s">
        <v>29</v>
      </c>
      <c r="B40" s="1305" t="s">
        <v>28</v>
      </c>
      <c r="C40" s="1306">
        <v>0</v>
      </c>
      <c r="D40" s="1306">
        <v>0</v>
      </c>
      <c r="E40" s="1306">
        <v>0</v>
      </c>
      <c r="F40" s="1306">
        <v>0</v>
      </c>
    </row>
    <row r="41" spans="1:6">
      <c r="A41" s="1305" t="s">
        <v>31</v>
      </c>
      <c r="B41" s="1305" t="s">
        <v>32</v>
      </c>
      <c r="C41" s="1306">
        <v>63</v>
      </c>
      <c r="D41" s="1306">
        <v>973233.15304246102</v>
      </c>
      <c r="E41" s="1306">
        <v>151</v>
      </c>
      <c r="F41" s="1306">
        <v>986665.4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3</v>
      </c>
      <c r="D44" s="1306">
        <v>73597.905089386404</v>
      </c>
      <c r="E44" s="1306">
        <v>19</v>
      </c>
      <c r="F44" s="1306">
        <v>387671.5</v>
      </c>
    </row>
    <row r="45" spans="1:6">
      <c r="A45" s="1305" t="s">
        <v>31</v>
      </c>
      <c r="B45" s="1305" t="s">
        <v>36</v>
      </c>
      <c r="C45" s="1306">
        <v>0</v>
      </c>
      <c r="D45" s="1306">
        <v>0</v>
      </c>
      <c r="E45" s="1306">
        <v>3</v>
      </c>
      <c r="F45" s="1306">
        <v>9663850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26</v>
      </c>
      <c r="D48" s="1306">
        <v>86713174.615361407</v>
      </c>
      <c r="E48" s="1306">
        <v>34</v>
      </c>
      <c r="F48" s="1306">
        <v>59577479</v>
      </c>
    </row>
    <row r="49" spans="1:6">
      <c r="A49" s="1305" t="s">
        <v>31</v>
      </c>
      <c r="B49" s="1305" t="s">
        <v>39</v>
      </c>
      <c r="C49" s="1306">
        <v>3</v>
      </c>
      <c r="D49" s="1306">
        <v>1770835.4407729399</v>
      </c>
      <c r="E49" s="1306">
        <v>4</v>
      </c>
      <c r="F49" s="1306">
        <v>15505757</v>
      </c>
    </row>
    <row r="50" spans="1:6">
      <c r="A50" s="1305" t="s">
        <v>31</v>
      </c>
      <c r="B50" s="1305" t="s">
        <v>40</v>
      </c>
      <c r="C50" s="1306">
        <v>5</v>
      </c>
      <c r="D50" s="1306">
        <v>230770.546501345</v>
      </c>
      <c r="E50" s="1306">
        <v>4</v>
      </c>
      <c r="F50" s="1306">
        <v>148397.70000000001</v>
      </c>
    </row>
    <row r="51" spans="1:6">
      <c r="A51" s="1305" t="s">
        <v>41</v>
      </c>
      <c r="B51" s="1305" t="s">
        <v>42</v>
      </c>
      <c r="C51" s="1306">
        <v>17</v>
      </c>
      <c r="D51" s="1306">
        <v>1007979.04835116</v>
      </c>
      <c r="E51" s="1306">
        <v>252</v>
      </c>
      <c r="F51" s="1306">
        <v>5888692</v>
      </c>
    </row>
    <row r="52" spans="1:6">
      <c r="A52" s="1305" t="s">
        <v>41</v>
      </c>
      <c r="B52" s="1305" t="s">
        <v>28</v>
      </c>
      <c r="C52" s="1306">
        <v>3</v>
      </c>
      <c r="D52" s="1306">
        <v>206694.95723663401</v>
      </c>
      <c r="E52" s="1306">
        <v>3</v>
      </c>
      <c r="F52" s="1306">
        <v>4086.2719999999999</v>
      </c>
    </row>
    <row r="53" spans="1:6">
      <c r="A53" s="1305" t="s">
        <v>43</v>
      </c>
      <c r="B53" s="1305" t="s">
        <v>44</v>
      </c>
      <c r="C53" s="1306">
        <v>59</v>
      </c>
      <c r="D53" s="1306">
        <v>854169.05936610699</v>
      </c>
      <c r="E53" s="1306">
        <v>162</v>
      </c>
      <c r="F53" s="1306">
        <v>607137.9</v>
      </c>
    </row>
    <row r="54" spans="1:6">
      <c r="A54" s="1305" t="s">
        <v>45</v>
      </c>
      <c r="B54" s="1305" t="s">
        <v>46</v>
      </c>
      <c r="C54" s="1306">
        <v>0</v>
      </c>
      <c r="D54" s="1306">
        <v>0</v>
      </c>
      <c r="E54" s="1306">
        <v>1</v>
      </c>
      <c r="F54" s="1306">
        <v>889477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40</v>
      </c>
      <c r="D57" s="1306">
        <v>4578424.6065875599</v>
      </c>
      <c r="E57" s="1306">
        <v>97</v>
      </c>
      <c r="F57" s="1306">
        <v>4903130</v>
      </c>
    </row>
    <row r="58" spans="1:6">
      <c r="A58" s="1305" t="s">
        <v>48</v>
      </c>
      <c r="B58" s="1305" t="s">
        <v>50</v>
      </c>
      <c r="C58" s="1306">
        <v>14</v>
      </c>
      <c r="D58" s="1306">
        <v>385547.599495353</v>
      </c>
      <c r="E58" s="1306">
        <v>27</v>
      </c>
      <c r="F58" s="1306">
        <v>174640.5</v>
      </c>
    </row>
    <row r="59" spans="1:6">
      <c r="A59" s="1305" t="s">
        <v>48</v>
      </c>
      <c r="B59" s="1305" t="s">
        <v>51</v>
      </c>
      <c r="C59" s="1306">
        <v>25</v>
      </c>
      <c r="D59" s="1306">
        <v>791571.08992294397</v>
      </c>
      <c r="E59" s="1306">
        <v>113</v>
      </c>
      <c r="F59" s="1306">
        <v>2962648</v>
      </c>
    </row>
    <row r="60" spans="1:6">
      <c r="A60" s="1305" t="s">
        <v>48</v>
      </c>
      <c r="B60" s="1305" t="s">
        <v>52</v>
      </c>
      <c r="C60" s="1306">
        <v>27</v>
      </c>
      <c r="D60" s="1306">
        <v>615129.69748126704</v>
      </c>
      <c r="E60" s="1306">
        <v>55</v>
      </c>
      <c r="F60" s="1306">
        <v>968942.2</v>
      </c>
    </row>
    <row r="61" spans="1:6">
      <c r="A61" s="1305" t="s">
        <v>48</v>
      </c>
      <c r="B61" s="1305" t="s">
        <v>53</v>
      </c>
      <c r="C61" s="1306">
        <v>61</v>
      </c>
      <c r="D61" s="1306">
        <v>1499760.50326307</v>
      </c>
      <c r="E61" s="1306">
        <v>133</v>
      </c>
      <c r="F61" s="1306">
        <v>1445794</v>
      </c>
    </row>
    <row r="62" spans="1:6">
      <c r="A62" s="1305" t="s">
        <v>48</v>
      </c>
      <c r="B62" s="1305" t="s">
        <v>54</v>
      </c>
      <c r="C62" s="1306">
        <v>4</v>
      </c>
      <c r="D62" s="1306">
        <v>238777.20194103499</v>
      </c>
      <c r="E62" s="1306">
        <v>5</v>
      </c>
      <c r="F62" s="1306">
        <v>89335.47</v>
      </c>
    </row>
    <row r="63" spans="1:6">
      <c r="A63" s="1305" t="s">
        <v>48</v>
      </c>
      <c r="B63" s="1305" t="s">
        <v>28</v>
      </c>
      <c r="C63" s="1306">
        <v>59</v>
      </c>
      <c r="D63" s="1306">
        <v>2976797.4036941901</v>
      </c>
      <c r="E63" s="1306">
        <v>75</v>
      </c>
      <c r="F63" s="1306">
        <v>2430836</v>
      </c>
    </row>
    <row r="64" spans="1:6">
      <c r="A64" s="1305" t="s">
        <v>55</v>
      </c>
      <c r="B64" s="1305" t="s">
        <v>56</v>
      </c>
      <c r="C64" s="1306">
        <v>0</v>
      </c>
      <c r="D64" s="1306">
        <v>0</v>
      </c>
      <c r="E64" s="1306">
        <v>0</v>
      </c>
      <c r="F64" s="1306">
        <v>0</v>
      </c>
    </row>
    <row r="65" spans="1:6">
      <c r="A65" s="1305" t="s">
        <v>55</v>
      </c>
      <c r="B65" s="1305" t="s">
        <v>28</v>
      </c>
      <c r="C65" s="1306">
        <v>0</v>
      </c>
      <c r="D65" s="1306">
        <v>0</v>
      </c>
      <c r="E65" s="1306">
        <v>3</v>
      </c>
      <c r="F65" s="1306">
        <v>11664.25</v>
      </c>
    </row>
    <row r="66" spans="1:6">
      <c r="A66" s="1305" t="s">
        <v>55</v>
      </c>
      <c r="B66" s="1305" t="s">
        <v>57</v>
      </c>
      <c r="C66" s="1306">
        <v>0</v>
      </c>
      <c r="D66" s="1306">
        <v>0</v>
      </c>
      <c r="E66" s="1306">
        <v>7</v>
      </c>
      <c r="F66" s="1306">
        <v>172288.7</v>
      </c>
    </row>
    <row r="67" spans="1:6">
      <c r="A67" s="1307" t="s">
        <v>55</v>
      </c>
      <c r="B67" s="1307" t="s">
        <v>58</v>
      </c>
      <c r="C67" s="1306">
        <v>0</v>
      </c>
      <c r="D67" s="1306">
        <v>0</v>
      </c>
      <c r="E67" s="1306">
        <v>0</v>
      </c>
      <c r="F67" s="1306">
        <v>0</v>
      </c>
    </row>
    <row r="68" spans="1:6">
      <c r="A68" s="1300" t="s">
        <v>55</v>
      </c>
      <c r="B68" s="1300" t="s">
        <v>59</v>
      </c>
      <c r="C68" s="1309">
        <v>4</v>
      </c>
      <c r="D68" s="1309">
        <v>115839.42725960301</v>
      </c>
      <c r="E68" s="1309">
        <v>13</v>
      </c>
      <c r="F68" s="1309">
        <v>67510.7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37590571</v>
      </c>
      <c r="E73" s="450"/>
      <c r="F73" s="330"/>
    </row>
    <row r="74" spans="1:6">
      <c r="A74" s="1305" t="s">
        <v>63</v>
      </c>
      <c r="B74" s="1305" t="s">
        <v>710</v>
      </c>
      <c r="C74" s="1319" t="s">
        <v>712</v>
      </c>
      <c r="D74" s="1320">
        <v>4941583.9066494936</v>
      </c>
      <c r="E74" s="450"/>
      <c r="F74" s="330"/>
    </row>
    <row r="75" spans="1:6">
      <c r="A75" s="1305" t="s">
        <v>64</v>
      </c>
      <c r="B75" s="1305" t="s">
        <v>709</v>
      </c>
      <c r="C75" s="1319" t="s">
        <v>713</v>
      </c>
      <c r="D75" s="1320">
        <v>17491982</v>
      </c>
      <c r="E75" s="450"/>
      <c r="F75" s="330"/>
    </row>
    <row r="76" spans="1:6">
      <c r="A76" s="1305" t="s">
        <v>64</v>
      </c>
      <c r="B76" s="1305" t="s">
        <v>710</v>
      </c>
      <c r="C76" s="1319" t="s">
        <v>714</v>
      </c>
      <c r="D76" s="1320">
        <v>834922.9066494935</v>
      </c>
      <c r="E76" s="450"/>
      <c r="F76" s="330"/>
    </row>
    <row r="77" spans="1:6">
      <c r="A77" s="1305" t="s">
        <v>65</v>
      </c>
      <c r="B77" s="1305" t="s">
        <v>709</v>
      </c>
      <c r="C77" s="1319" t="s">
        <v>715</v>
      </c>
      <c r="D77" s="1320">
        <v>68331216</v>
      </c>
      <c r="E77" s="450"/>
      <c r="F77" s="330"/>
    </row>
    <row r="78" spans="1:6">
      <c r="A78" s="1300" t="s">
        <v>65</v>
      </c>
      <c r="B78" s="1300" t="s">
        <v>710</v>
      </c>
      <c r="C78" s="1300" t="s">
        <v>716</v>
      </c>
      <c r="D78" s="1321">
        <v>10718477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283758.18670101301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3849.7353383313871</v>
      </c>
      <c r="C91" s="330"/>
      <c r="D91" s="330"/>
      <c r="E91" s="330"/>
      <c r="F91" s="330"/>
    </row>
    <row r="92" spans="1:6">
      <c r="A92" s="1300" t="s">
        <v>68</v>
      </c>
      <c r="B92" s="1301">
        <v>3415.5368964928884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1371</v>
      </c>
      <c r="C97" s="330"/>
      <c r="D97" s="330"/>
      <c r="E97" s="330"/>
      <c r="F97" s="330"/>
    </row>
    <row r="98" spans="1:6">
      <c r="A98" s="1305" t="s">
        <v>71</v>
      </c>
      <c r="B98" s="1306">
        <v>0</v>
      </c>
      <c r="C98" s="330"/>
      <c r="D98" s="330"/>
      <c r="E98" s="330"/>
      <c r="F98" s="330"/>
    </row>
    <row r="99" spans="1:6">
      <c r="A99" s="1305" t="s">
        <v>72</v>
      </c>
      <c r="B99" s="1306">
        <v>212</v>
      </c>
      <c r="C99" s="330"/>
      <c r="D99" s="330"/>
      <c r="E99" s="330"/>
      <c r="F99" s="330"/>
    </row>
    <row r="100" spans="1:6">
      <c r="A100" s="1305" t="s">
        <v>73</v>
      </c>
      <c r="B100" s="1306">
        <v>316</v>
      </c>
      <c r="C100" s="330"/>
      <c r="D100" s="330"/>
      <c r="E100" s="330"/>
      <c r="F100" s="330"/>
    </row>
    <row r="101" spans="1:6">
      <c r="A101" s="1305" t="s">
        <v>74</v>
      </c>
      <c r="B101" s="1306">
        <v>182</v>
      </c>
      <c r="C101" s="330"/>
      <c r="D101" s="330"/>
      <c r="E101" s="330"/>
      <c r="F101" s="330"/>
    </row>
    <row r="102" spans="1:6">
      <c r="A102" s="1305" t="s">
        <v>75</v>
      </c>
      <c r="B102" s="1306">
        <v>54</v>
      </c>
      <c r="C102" s="330"/>
      <c r="D102" s="330"/>
      <c r="E102" s="330"/>
      <c r="F102" s="330"/>
    </row>
    <row r="103" spans="1:6">
      <c r="A103" s="1305" t="s">
        <v>76</v>
      </c>
      <c r="B103" s="1306">
        <v>291</v>
      </c>
      <c r="C103" s="330"/>
      <c r="D103" s="330"/>
      <c r="E103" s="330"/>
      <c r="F103" s="330"/>
    </row>
    <row r="104" spans="1:6">
      <c r="A104" s="1305" t="s">
        <v>77</v>
      </c>
      <c r="B104" s="1306">
        <v>1851</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10</v>
      </c>
      <c r="C123" s="1306">
        <v>13</v>
      </c>
      <c r="D123" s="330"/>
      <c r="E123" s="330"/>
      <c r="F123" s="330"/>
    </row>
    <row r="124" spans="1:6" s="43" customFormat="1">
      <c r="A124" s="1307" t="s">
        <v>88</v>
      </c>
      <c r="B124" s="1328">
        <v>1</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191</v>
      </c>
      <c r="C129" s="330"/>
      <c r="D129" s="330"/>
      <c r="E129" s="330"/>
      <c r="F129" s="330"/>
    </row>
    <row r="130" spans="1:6">
      <c r="A130" s="1305" t="s">
        <v>294</v>
      </c>
      <c r="B130" s="1306">
        <v>1</v>
      </c>
      <c r="C130" s="330"/>
      <c r="D130" s="330"/>
      <c r="E130" s="330"/>
      <c r="F130" s="330"/>
    </row>
    <row r="131" spans="1:6">
      <c r="A131" s="1305" t="s">
        <v>295</v>
      </c>
      <c r="B131" s="1306">
        <v>1</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128679.09954212869</v>
      </c>
      <c r="C3" s="43" t="s">
        <v>169</v>
      </c>
      <c r="D3" s="43"/>
      <c r="E3" s="154"/>
      <c r="F3" s="43"/>
      <c r="G3" s="43"/>
      <c r="H3" s="43"/>
      <c r="I3" s="43"/>
      <c r="J3" s="43"/>
      <c r="K3" s="96"/>
    </row>
    <row r="4" spans="1:11">
      <c r="A4" s="359" t="s">
        <v>170</v>
      </c>
      <c r="B4" s="49">
        <f>IF(ISERROR('SEAP template'!B78+'SEAP template'!C78),0,'SEAP template'!B78+'SEAP template'!C78)</f>
        <v>7308.9222348242747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0.20844728693592285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889.47699999999998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889.47699999999998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0.20844728693592285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185.40906744190383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18137.210999999999</v>
      </c>
      <c r="C5" s="17">
        <f>IF(ISERROR('Eigen informatie GS &amp; warmtenet'!B57),0,'Eigen informatie GS &amp; warmtenet'!B57)</f>
        <v>0</v>
      </c>
      <c r="D5" s="30">
        <f>(SUM(HH_hh_gas_kWh,HH_rest_gas_kWh)/1000)*0.902</f>
        <v>31923.201128589833</v>
      </c>
      <c r="E5" s="17">
        <f>B46*B57</f>
        <v>32369.001424767775</v>
      </c>
      <c r="F5" s="17">
        <f>B51*B62</f>
        <v>19134.839961281781</v>
      </c>
      <c r="G5" s="18"/>
      <c r="H5" s="17"/>
      <c r="I5" s="17"/>
      <c r="J5" s="17">
        <f>B50*B61+C50*C61</f>
        <v>4915.7270708018586</v>
      </c>
      <c r="K5" s="17"/>
      <c r="L5" s="17"/>
      <c r="M5" s="17"/>
      <c r="N5" s="17">
        <f>B48*B59+C48*C59</f>
        <v>20038.919226205428</v>
      </c>
      <c r="O5" s="17">
        <f>B69*B70*B71</f>
        <v>322.04666666666668</v>
      </c>
      <c r="P5" s="17">
        <f>B77*B78*B79/1000-B77*B78*B79/1000/B80</f>
        <v>400.4</v>
      </c>
    </row>
    <row r="6" spans="1:16">
      <c r="A6" s="16" t="s">
        <v>630</v>
      </c>
      <c r="B6" s="763">
        <f>kWh_PV_kleiner_dan_10kW</f>
        <v>3849.7353383313871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21986.946338331385</v>
      </c>
      <c r="C8" s="21">
        <f>C5</f>
        <v>0</v>
      </c>
      <c r="D8" s="21">
        <f>D5</f>
        <v>31923.201128589833</v>
      </c>
      <c r="E8" s="21">
        <f>E5</f>
        <v>32369.001424767775</v>
      </c>
      <c r="F8" s="21">
        <f>F5</f>
        <v>19134.839961281781</v>
      </c>
      <c r="G8" s="21"/>
      <c r="H8" s="21"/>
      <c r="I8" s="21"/>
      <c r="J8" s="21">
        <f>J5</f>
        <v>4915.7270708018586</v>
      </c>
      <c r="K8" s="21"/>
      <c r="L8" s="21">
        <f>L5</f>
        <v>0</v>
      </c>
      <c r="M8" s="21">
        <f>M5</f>
        <v>0</v>
      </c>
      <c r="N8" s="21">
        <f>N5</f>
        <v>20038.919226205428</v>
      </c>
      <c r="O8" s="21">
        <f>O5</f>
        <v>322.04666666666668</v>
      </c>
      <c r="P8" s="21">
        <f>P5</f>
        <v>400.4</v>
      </c>
    </row>
    <row r="9" spans="1:16">
      <c r="B9" s="19"/>
      <c r="C9" s="19"/>
      <c r="D9" s="258"/>
      <c r="E9" s="19"/>
      <c r="F9" s="19"/>
      <c r="G9" s="19"/>
      <c r="H9" s="19"/>
      <c r="I9" s="19"/>
      <c r="J9" s="19"/>
      <c r="K9" s="19"/>
      <c r="L9" s="19"/>
      <c r="M9" s="19"/>
      <c r="N9" s="19"/>
      <c r="O9" s="19"/>
      <c r="P9" s="19"/>
    </row>
    <row r="10" spans="1:16">
      <c r="A10" s="24" t="s">
        <v>213</v>
      </c>
      <c r="B10" s="25">
        <f ca="1">'EF ele_warmte'!B12</f>
        <v>0.20844728693592285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4583.1193122309005</v>
      </c>
      <c r="C12" s="23">
        <f ca="1">C10*C8</f>
        <v>0</v>
      </c>
      <c r="D12" s="23">
        <f>D8*D10</f>
        <v>6448.4866279751468</v>
      </c>
      <c r="E12" s="23">
        <f>E10*E8</f>
        <v>7347.7633234222849</v>
      </c>
      <c r="F12" s="23">
        <f>F10*F8</f>
        <v>5109.0022696622354</v>
      </c>
      <c r="G12" s="23"/>
      <c r="H12" s="23"/>
      <c r="I12" s="23"/>
      <c r="J12" s="23">
        <f>J10*J8</f>
        <v>1740.1673830638579</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0</v>
      </c>
      <c r="C19" s="166" t="s">
        <v>110</v>
      </c>
      <c r="D19" s="229"/>
      <c r="E19" s="15"/>
    </row>
    <row r="20" spans="1:7">
      <c r="A20" s="171" t="s">
        <v>72</v>
      </c>
      <c r="B20" s="37">
        <f>aantalw2001_propaan</f>
        <v>212</v>
      </c>
      <c r="C20" s="167">
        <f>IF(ISERROR(B20/SUM($B$20,$B$21,$B$22)*100),0,B20/SUM($B$20,$B$21,$B$22)*100)</f>
        <v>29.859154929577464</v>
      </c>
      <c r="D20" s="229"/>
      <c r="E20" s="15"/>
    </row>
    <row r="21" spans="1:7">
      <c r="A21" s="171" t="s">
        <v>73</v>
      </c>
      <c r="B21" s="37">
        <f>aantalw2001_elektriciteit</f>
        <v>316</v>
      </c>
      <c r="C21" s="167">
        <f>IF(ISERROR(B21/SUM($B$20,$B$21,$B$22)*100),0,B21/SUM($B$20,$B$21,$B$22)*100)</f>
        <v>44.507042253521128</v>
      </c>
      <c r="D21" s="229"/>
      <c r="E21" s="15"/>
    </row>
    <row r="22" spans="1:7">
      <c r="A22" s="171" t="s">
        <v>74</v>
      </c>
      <c r="B22" s="37">
        <f>aantalw2001_hout</f>
        <v>182</v>
      </c>
      <c r="C22" s="167">
        <f>IF(ISERROR(B22/SUM($B$20,$B$21,$B$22)*100),0,B22/SUM($B$20,$B$21,$B$22)*100)</f>
        <v>25.633802816901408</v>
      </c>
      <c r="D22" s="229"/>
      <c r="E22" s="15"/>
    </row>
    <row r="23" spans="1:7">
      <c r="A23" s="171" t="s">
        <v>75</v>
      </c>
      <c r="B23" s="37">
        <f>aantalw2001_niet_gespec</f>
        <v>54</v>
      </c>
      <c r="C23" s="166" t="s">
        <v>110</v>
      </c>
      <c r="D23" s="228"/>
      <c r="E23" s="15"/>
    </row>
    <row r="24" spans="1:7">
      <c r="A24" s="171" t="s">
        <v>76</v>
      </c>
      <c r="B24" s="37">
        <f>aantalw2001_steenkool</f>
        <v>291</v>
      </c>
      <c r="C24" s="166" t="s">
        <v>110</v>
      </c>
      <c r="D24" s="229"/>
      <c r="E24" s="15"/>
    </row>
    <row r="25" spans="1:7">
      <c r="A25" s="171" t="s">
        <v>77</v>
      </c>
      <c r="B25" s="37">
        <f>aantalw2001_stookolie</f>
        <v>1851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4892</v>
      </c>
      <c r="C28" s="36"/>
      <c r="D28" s="228"/>
    </row>
    <row r="29" spans="1:7" s="15" customFormat="1">
      <c r="A29" s="230" t="s">
        <v>737</v>
      </c>
      <c r="B29" s="37">
        <f>SUM(HH_hh_gas_aantal,HH_rest_gas_aantal)</f>
        <v>2478</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2478</v>
      </c>
      <c r="C32" s="167">
        <f>IF(ISERROR(B32/SUM($B$32,$B$34,$B$35,$B$36,$B$38,$B$39)*100),0,B32/SUM($B$32,$B$34,$B$35,$B$36,$B$38,$B$39)*100)</f>
        <v>50.872510778074307</v>
      </c>
      <c r="D32" s="233"/>
      <c r="G32" s="15"/>
    </row>
    <row r="33" spans="1:7">
      <c r="A33" s="171" t="s">
        <v>71</v>
      </c>
      <c r="B33" s="34" t="s">
        <v>110</v>
      </c>
      <c r="C33" s="167"/>
      <c r="D33" s="233"/>
      <c r="G33" s="15"/>
    </row>
    <row r="34" spans="1:7">
      <c r="A34" s="171" t="s">
        <v>72</v>
      </c>
      <c r="B34" s="33">
        <f>IF((($B$28-$B$32-$B$39-$B$77-$B$38)*C20/100)&lt;0,0,($B$28-$B$32-$B$39-$B$77-$B$38)*C20/100)</f>
        <v>405.48732394366203</v>
      </c>
      <c r="C34" s="167">
        <f>IF(ISERROR(B34/SUM($B$32,$B$34,$B$35,$B$36,$B$38,$B$39)*100),0,B34/SUM($B$32,$B$34,$B$35,$B$36,$B$38,$B$39)*100)</f>
        <v>8.3245190709025234</v>
      </c>
      <c r="D34" s="233"/>
      <c r="G34" s="15"/>
    </row>
    <row r="35" spans="1:7">
      <c r="A35" s="171" t="s">
        <v>73</v>
      </c>
      <c r="B35" s="33">
        <f>IF((($B$28-$B$32-$B$39-$B$77-$B$38)*C21/100)&lt;0,0,($B$28-$B$32-$B$39-$B$77-$B$38)*C21/100)</f>
        <v>604.40563380281708</v>
      </c>
      <c r="C35" s="167">
        <f>IF(ISERROR(B35/SUM($B$32,$B$34,$B$35,$B$36,$B$38,$B$39)*100),0,B35/SUM($B$32,$B$34,$B$35,$B$36,$B$38,$B$39)*100)</f>
        <v>12.408245407571689</v>
      </c>
      <c r="D35" s="233"/>
      <c r="G35" s="15"/>
    </row>
    <row r="36" spans="1:7">
      <c r="A36" s="171" t="s">
        <v>74</v>
      </c>
      <c r="B36" s="33">
        <f>IF((($B$28-$B$32-$B$39-$B$77-$B$38)*C22/100)&lt;0,0,($B$28-$B$32-$B$39-$B$77-$B$38)*C22/100)</f>
        <v>348.10704225352123</v>
      </c>
      <c r="C36" s="167">
        <f>IF(ISERROR(B36/SUM($B$32,$B$34,$B$35,$B$36,$B$38,$B$39)*100),0,B36/SUM($B$32,$B$34,$B$35,$B$36,$B$38,$B$39)*100)</f>
        <v>7.1465210891710358</v>
      </c>
      <c r="D36" s="233"/>
      <c r="G36" s="15"/>
    </row>
    <row r="37" spans="1:7">
      <c r="A37" s="171" t="s">
        <v>75</v>
      </c>
      <c r="B37" s="34" t="s">
        <v>110</v>
      </c>
      <c r="C37" s="167"/>
      <c r="D37" s="173"/>
      <c r="G37" s="15"/>
    </row>
    <row r="38" spans="1:7">
      <c r="A38" s="171" t="s">
        <v>76</v>
      </c>
      <c r="B38" s="33">
        <f>IF((B24-(B29-B18)*0.1)&lt;0,0,B24-(B29-B18)*0.1)</f>
        <v>180.3</v>
      </c>
      <c r="C38" s="167">
        <f>IF(ISERROR(B38/SUM($B$32,$B$34,$B$35,$B$36,$B$38,$B$39)*100),0,B38/SUM($B$32,$B$34,$B$35,$B$36,$B$38,$B$39)*100)</f>
        <v>3.7014986655717506</v>
      </c>
      <c r="D38" s="234"/>
      <c r="G38" s="15"/>
    </row>
    <row r="39" spans="1:7">
      <c r="A39" s="171" t="s">
        <v>77</v>
      </c>
      <c r="B39" s="33">
        <f>IF((B25-(B29-B18))&lt;0,0,B25-(B29-B18)*0.9)</f>
        <v>854.69999999999993</v>
      </c>
      <c r="C39" s="167">
        <f>IF(ISERROR(B39/SUM($B$32,$B$34,$B$35,$B$36,$B$38,$B$39)*100),0,B39/SUM($B$32,$B$34,$B$35,$B$36,$B$38,$B$39)*100)</f>
        <v>17.546704988708679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2478</v>
      </c>
      <c r="C44" s="34" t="s">
        <v>110</v>
      </c>
      <c r="D44" s="174"/>
    </row>
    <row r="45" spans="1:7">
      <c r="A45" s="171" t="s">
        <v>71</v>
      </c>
      <c r="B45" s="33" t="str">
        <f t="shared" si="0"/>
        <v>-</v>
      </c>
      <c r="C45" s="34" t="s">
        <v>110</v>
      </c>
      <c r="D45" s="174"/>
    </row>
    <row r="46" spans="1:7">
      <c r="A46" s="171" t="s">
        <v>72</v>
      </c>
      <c r="B46" s="33">
        <f t="shared" si="0"/>
        <v>405.48732394366203</v>
      </c>
      <c r="C46" s="34" t="s">
        <v>110</v>
      </c>
      <c r="D46" s="174"/>
    </row>
    <row r="47" spans="1:7">
      <c r="A47" s="171" t="s">
        <v>73</v>
      </c>
      <c r="B47" s="33">
        <f t="shared" si="0"/>
        <v>604.40563380281708</v>
      </c>
      <c r="C47" s="34" t="s">
        <v>110</v>
      </c>
      <c r="D47" s="174"/>
    </row>
    <row r="48" spans="1:7">
      <c r="A48" s="171" t="s">
        <v>74</v>
      </c>
      <c r="B48" s="33">
        <f t="shared" si="0"/>
        <v>348.10704225352123</v>
      </c>
      <c r="C48" s="33">
        <f>B48*10</f>
        <v>3481.0704225352124</v>
      </c>
      <c r="D48" s="234"/>
    </row>
    <row r="49" spans="1:6">
      <c r="A49" s="171" t="s">
        <v>75</v>
      </c>
      <c r="B49" s="33" t="str">
        <f t="shared" si="0"/>
        <v>-</v>
      </c>
      <c r="C49" s="34" t="s">
        <v>110</v>
      </c>
      <c r="D49" s="234"/>
    </row>
    <row r="50" spans="1:6">
      <c r="A50" s="171" t="s">
        <v>76</v>
      </c>
      <c r="B50" s="33">
        <f t="shared" si="0"/>
        <v>180.3</v>
      </c>
      <c r="C50" s="33">
        <f>B50*2</f>
        <v>360.6</v>
      </c>
      <c r="D50" s="234"/>
    </row>
    <row r="51" spans="1:6">
      <c r="A51" s="171" t="s">
        <v>77</v>
      </c>
      <c r="B51" s="33">
        <f t="shared" si="0"/>
        <v>854.69999999999993</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12975.32617</v>
      </c>
      <c r="C5" s="17">
        <f>IF(ISERROR('Eigen informatie GS &amp; warmtenet'!B58),0,'Eigen informatie GS &amp; warmtenet'!B58)</f>
        <v>0</v>
      </c>
      <c r="D5" s="30">
        <f>SUM(D6:D12)</f>
        <v>9999.5793083516473</v>
      </c>
      <c r="E5" s="17">
        <f>SUM(E6:E12)</f>
        <v>115.66508679929181</v>
      </c>
      <c r="F5" s="17">
        <f>SUM(F6:F12)</f>
        <v>2253.468679454817</v>
      </c>
      <c r="G5" s="18"/>
      <c r="H5" s="17"/>
      <c r="I5" s="17"/>
      <c r="J5" s="17">
        <f>SUM(J6:J12)</f>
        <v>0</v>
      </c>
      <c r="K5" s="17"/>
      <c r="L5" s="17"/>
      <c r="M5" s="17"/>
      <c r="N5" s="17">
        <f>SUM(N6:N12)</f>
        <v>3701.3631601863553</v>
      </c>
      <c r="O5" s="17">
        <f>B38*B39*B40</f>
        <v>1.5633333333333335</v>
      </c>
      <c r="P5" s="17">
        <f>B46*B47*B48/1000-B46*B47*B48/1000/B49</f>
        <v>19.066666666666666</v>
      </c>
      <c r="R5" s="32"/>
    </row>
    <row r="6" spans="1:18">
      <c r="A6" s="32" t="s">
        <v>53</v>
      </c>
      <c r="B6" s="37">
        <f>B26</f>
        <v>1445.7940000000001</v>
      </c>
      <c r="C6" s="33"/>
      <c r="D6" s="37">
        <f>IF(ISERROR(TER_kantoor_gas_kWh/1000),0,TER_kantoor_gas_kWh/1000)*0.902</f>
        <v>1352.7839739432891</v>
      </c>
      <c r="E6" s="33">
        <f>$C$26*'E Balans VL '!I12/100/3.6*1000000</f>
        <v>4.1886773460579878</v>
      </c>
      <c r="F6" s="33">
        <f>$C$26*('E Balans VL '!L12+'E Balans VL '!N12)/100/3.6*1000000</f>
        <v>163.63202748851805</v>
      </c>
      <c r="G6" s="34"/>
      <c r="H6" s="33"/>
      <c r="I6" s="33"/>
      <c r="J6" s="33">
        <f>$C$26*('E Balans VL '!D12+'E Balans VL '!E12)/100/3.6*1000000</f>
        <v>0</v>
      </c>
      <c r="K6" s="33"/>
      <c r="L6" s="33"/>
      <c r="M6" s="33"/>
      <c r="N6" s="33">
        <f>$C$26*'E Balans VL '!Y12/100/3.6*1000000</f>
        <v>14.471332631416081</v>
      </c>
      <c r="O6" s="33"/>
      <c r="P6" s="33"/>
      <c r="R6" s="32"/>
    </row>
    <row r="7" spans="1:18">
      <c r="A7" s="32" t="s">
        <v>52</v>
      </c>
      <c r="B7" s="37">
        <f t="shared" ref="B7:B12" si="0">B27</f>
        <v>968.94219999999996</v>
      </c>
      <c r="C7" s="33"/>
      <c r="D7" s="37">
        <f>IF(ISERROR(TER_horeca_gas_kWh/1000),0,TER_horeca_gas_kWh/1000)*0.902</f>
        <v>554.84698712810291</v>
      </c>
      <c r="E7" s="33">
        <f>$C$27*'E Balans VL '!I9/100/3.6*1000000</f>
        <v>40.673486384997283</v>
      </c>
      <c r="F7" s="33">
        <f>$C$27*('E Balans VL '!L9+'E Balans VL '!N9)/100/3.6*1000000</f>
        <v>208.19710170122906</v>
      </c>
      <c r="G7" s="34"/>
      <c r="H7" s="33"/>
      <c r="I7" s="33"/>
      <c r="J7" s="33">
        <f>$C$27*('E Balans VL '!D9+'E Balans VL '!E9)/100/3.6*1000000</f>
        <v>0</v>
      </c>
      <c r="K7" s="33"/>
      <c r="L7" s="33"/>
      <c r="M7" s="33"/>
      <c r="N7" s="33">
        <f>$C$27*'E Balans VL '!Y9/100/3.6*1000000</f>
        <v>0.24968793123305769</v>
      </c>
      <c r="O7" s="33"/>
      <c r="P7" s="33"/>
      <c r="R7" s="32"/>
    </row>
    <row r="8" spans="1:18">
      <c r="A8" s="6" t="s">
        <v>51</v>
      </c>
      <c r="B8" s="37">
        <f t="shared" si="0"/>
        <v>2962.6480000000001</v>
      </c>
      <c r="C8" s="33"/>
      <c r="D8" s="37">
        <f>IF(ISERROR(TER_handel_gas_kWh/1000),0,TER_handel_gas_kWh/1000)*0.902</f>
        <v>713.99712311049552</v>
      </c>
      <c r="E8" s="33">
        <f>$C$28*'E Balans VL '!I13/100/3.6*1000000</f>
        <v>31.821305261837772</v>
      </c>
      <c r="F8" s="33">
        <f>$C$28*('E Balans VL '!L13+'E Balans VL '!N13)/100/3.6*1000000</f>
        <v>383.53924864284227</v>
      </c>
      <c r="G8" s="34"/>
      <c r="H8" s="33"/>
      <c r="I8" s="33"/>
      <c r="J8" s="33">
        <f>$C$28*('E Balans VL '!D13+'E Balans VL '!E13)/100/3.6*1000000</f>
        <v>0</v>
      </c>
      <c r="K8" s="33"/>
      <c r="L8" s="33"/>
      <c r="M8" s="33"/>
      <c r="N8" s="33">
        <f>$C$28*'E Balans VL '!Y13/100/3.6*1000000</f>
        <v>24.033162343614382</v>
      </c>
      <c r="O8" s="33"/>
      <c r="P8" s="33"/>
      <c r="R8" s="32"/>
    </row>
    <row r="9" spans="1:18">
      <c r="A9" s="32" t="s">
        <v>50</v>
      </c>
      <c r="B9" s="37">
        <f t="shared" si="0"/>
        <v>174.6405</v>
      </c>
      <c r="C9" s="33"/>
      <c r="D9" s="37">
        <f>IF(ISERROR(TER_gezond_gas_kWh/1000),0,TER_gezond_gas_kWh/1000)*0.902</f>
        <v>347.76393474480841</v>
      </c>
      <c r="E9" s="33">
        <f>$C$29*'E Balans VL '!I10/100/3.6*1000000</f>
        <v>0.13902513344492609</v>
      </c>
      <c r="F9" s="33">
        <f>$C$29*('E Balans VL '!L10+'E Balans VL '!N10)/100/3.6*1000000</f>
        <v>21.230076557543121</v>
      </c>
      <c r="G9" s="34"/>
      <c r="H9" s="33"/>
      <c r="I9" s="33"/>
      <c r="J9" s="33">
        <f>$C$29*('E Balans VL '!D10+'E Balans VL '!E10)/100/3.6*1000000</f>
        <v>0</v>
      </c>
      <c r="K9" s="33"/>
      <c r="L9" s="33"/>
      <c r="M9" s="33"/>
      <c r="N9" s="33">
        <f>$C$29*'E Balans VL '!Y10/100/3.6*1000000</f>
        <v>1.4106996910395018</v>
      </c>
      <c r="O9" s="33"/>
      <c r="P9" s="33"/>
      <c r="R9" s="32"/>
    </row>
    <row r="10" spans="1:18">
      <c r="A10" s="32" t="s">
        <v>49</v>
      </c>
      <c r="B10" s="37">
        <f t="shared" si="0"/>
        <v>4903.13</v>
      </c>
      <c r="C10" s="33"/>
      <c r="D10" s="37">
        <f>IF(ISERROR(TER_ander_gas_kWh/1000),0,TER_ander_gas_kWh/1000)*0.902</f>
        <v>4129.7389951419791</v>
      </c>
      <c r="E10" s="33">
        <f>$C$30*'E Balans VL '!I14/100/3.6*1000000</f>
        <v>16.803284087432388</v>
      </c>
      <c r="F10" s="33">
        <f>$C$30*('E Balans VL '!L14+'E Balans VL '!N14)/100/3.6*1000000</f>
        <v>1095.1600022665434</v>
      </c>
      <c r="G10" s="34"/>
      <c r="H10" s="33"/>
      <c r="I10" s="33"/>
      <c r="J10" s="33">
        <f>$C$30*('E Balans VL '!D14+'E Balans VL '!E14)/100/3.6*1000000</f>
        <v>0</v>
      </c>
      <c r="K10" s="33"/>
      <c r="L10" s="33"/>
      <c r="M10" s="33"/>
      <c r="N10" s="33">
        <f>$C$30*'E Balans VL '!Y14/100/3.6*1000000</f>
        <v>3453.7915572756106</v>
      </c>
      <c r="O10" s="33"/>
      <c r="P10" s="33"/>
      <c r="R10" s="32"/>
    </row>
    <row r="11" spans="1:18">
      <c r="A11" s="32" t="s">
        <v>54</v>
      </c>
      <c r="B11" s="37">
        <f t="shared" si="0"/>
        <v>89.335470000000001</v>
      </c>
      <c r="C11" s="33"/>
      <c r="D11" s="37">
        <f>IF(ISERROR(TER_onderwijs_gas_kWh/1000),0,TER_onderwijs_gas_kWh/1000)*0.902</f>
        <v>215.37703615081358</v>
      </c>
      <c r="E11" s="33">
        <f>$C$31*'E Balans VL '!I11/100/3.6*1000000</f>
        <v>6.1754859095055972E-2</v>
      </c>
      <c r="F11" s="33">
        <f>$C$31*('E Balans VL '!L11+'E Balans VL '!N11)/100/3.6*1000000</f>
        <v>23.385431026672787</v>
      </c>
      <c r="G11" s="34"/>
      <c r="H11" s="33"/>
      <c r="I11" s="33"/>
      <c r="J11" s="33">
        <f>$C$31*('E Balans VL '!D11+'E Balans VL '!E11)/100/3.6*1000000</f>
        <v>0</v>
      </c>
      <c r="K11" s="33"/>
      <c r="L11" s="33"/>
      <c r="M11" s="33"/>
      <c r="N11" s="33">
        <f>$C$31*'E Balans VL '!Y11/100/3.6*1000000</f>
        <v>8.8925851383230392E-2</v>
      </c>
      <c r="O11" s="33"/>
      <c r="P11" s="33"/>
      <c r="R11" s="32"/>
    </row>
    <row r="12" spans="1:18">
      <c r="A12" s="32" t="s">
        <v>259</v>
      </c>
      <c r="B12" s="37">
        <f t="shared" si="0"/>
        <v>2430.8359999999998</v>
      </c>
      <c r="C12" s="33"/>
      <c r="D12" s="37">
        <f>IF(ISERROR(TER_rest_gas_kWh/1000),0,TER_rest_gas_kWh/1000)*0.902</f>
        <v>2685.0712581321595</v>
      </c>
      <c r="E12" s="33">
        <f>$C$32*'E Balans VL '!I8/100/3.6*1000000</f>
        <v>21.977553726426393</v>
      </c>
      <c r="F12" s="33">
        <f>$C$32*('E Balans VL '!L8+'E Balans VL '!N8)/100/3.6*1000000</f>
        <v>358.32479177146814</v>
      </c>
      <c r="G12" s="34"/>
      <c r="H12" s="33"/>
      <c r="I12" s="33"/>
      <c r="J12" s="33">
        <f>$C$32*('E Balans VL '!D8+'E Balans VL '!E8)/100/3.6*1000000</f>
        <v>0</v>
      </c>
      <c r="K12" s="33"/>
      <c r="L12" s="33"/>
      <c r="M12" s="33"/>
      <c r="N12" s="33">
        <f>$C$32*'E Balans VL '!Y8/100/3.6*1000000</f>
        <v>207.3177944620588</v>
      </c>
      <c r="O12" s="33"/>
      <c r="P12" s="33"/>
      <c r="R12" s="32"/>
    </row>
    <row r="13" spans="1:18">
      <c r="A13" s="16" t="s">
        <v>493</v>
      </c>
      <c r="B13" s="247">
        <f ca="1">'lokale energieproductie'!N38+'lokale energieproductie'!N31</f>
        <v>43.649999999999991</v>
      </c>
      <c r="C13" s="247">
        <f ca="1">'lokale energieproductie'!O38+'lokale energieproductie'!O31</f>
        <v>62.357142857142847</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-124.71428571428569</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13018.97617</v>
      </c>
      <c r="C16" s="21">
        <f t="shared" ca="1" si="1"/>
        <v>62.357142857142847</v>
      </c>
      <c r="D16" s="21">
        <f t="shared" ca="1" si="1"/>
        <v>9999.5793083516473</v>
      </c>
      <c r="E16" s="21">
        <f t="shared" si="1"/>
        <v>115.66508679929181</v>
      </c>
      <c r="F16" s="21">
        <f t="shared" ca="1" si="1"/>
        <v>2253.468679454817</v>
      </c>
      <c r="G16" s="21">
        <f t="shared" si="1"/>
        <v>0</v>
      </c>
      <c r="H16" s="21">
        <f t="shared" si="1"/>
        <v>0</v>
      </c>
      <c r="I16" s="21">
        <f t="shared" si="1"/>
        <v>0</v>
      </c>
      <c r="J16" s="21">
        <f t="shared" si="1"/>
        <v>0</v>
      </c>
      <c r="K16" s="21">
        <f t="shared" si="1"/>
        <v>0</v>
      </c>
      <c r="L16" s="21">
        <f t="shared" ca="1" si="1"/>
        <v>0</v>
      </c>
      <c r="M16" s="21">
        <f t="shared" si="1"/>
        <v>0</v>
      </c>
      <c r="N16" s="21">
        <f t="shared" ca="1" si="1"/>
        <v>3576.6488744720696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0.20844728693592285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2713.7702613199317</v>
      </c>
      <c r="C20" s="23">
        <f t="shared" ref="C20:P20" ca="1" si="2">C16*C18</f>
        <v>0</v>
      </c>
      <c r="D20" s="23">
        <f t="shared" ca="1" si="2"/>
        <v>2019.9150202870328</v>
      </c>
      <c r="E20" s="23">
        <f t="shared" si="2"/>
        <v>26.255974703439243</v>
      </c>
      <c r="F20" s="23">
        <f t="shared" ca="1" si="2"/>
        <v>601.6761374144362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1445.7940000000001</v>
      </c>
      <c r="C26" s="39">
        <f>IF(ISERROR(B26*3.6/1000000/'E Balans VL '!Z12*100),0,B26*3.6/1000000/'E Balans VL '!Z12*100)</f>
        <v>3.1758536715243924E-2</v>
      </c>
      <c r="D26" s="237" t="s">
        <v>691</v>
      </c>
      <c r="F26" s="6"/>
    </row>
    <row r="27" spans="1:18">
      <c r="A27" s="231" t="s">
        <v>52</v>
      </c>
      <c r="B27" s="33">
        <f>IF(ISERROR(TER_horeca_ele_kWh/1000),0,TER_horeca_ele_kWh/1000)</f>
        <v>968.94219999999996</v>
      </c>
      <c r="C27" s="39">
        <f>IF(ISERROR(B27*3.6/1000000/'E Balans VL '!Z9*100),0,B27*3.6/1000000/'E Balans VL '!Z9*100)</f>
        <v>7.7864164299927263E-2</v>
      </c>
      <c r="D27" s="237" t="s">
        <v>691</v>
      </c>
      <c r="F27" s="6"/>
    </row>
    <row r="28" spans="1:18">
      <c r="A28" s="171" t="s">
        <v>51</v>
      </c>
      <c r="B28" s="33">
        <f>IF(ISERROR(TER_handel_ele_kWh/1000),0,TER_handel_ele_kWh/1000)</f>
        <v>2962.6480000000001</v>
      </c>
      <c r="C28" s="39">
        <f>IF(ISERROR(B28*3.6/1000000/'E Balans VL '!Z13*100),0,B28*3.6/1000000/'E Balans VL '!Z13*100)</f>
        <v>8.7603431610649568E-2</v>
      </c>
      <c r="D28" s="237" t="s">
        <v>691</v>
      </c>
      <c r="F28" s="6"/>
    </row>
    <row r="29" spans="1:18">
      <c r="A29" s="231" t="s">
        <v>50</v>
      </c>
      <c r="B29" s="33">
        <f>IF(ISERROR(TER_gezond_ele_kWh/1000),0,TER_gezond_ele_kWh/1000)</f>
        <v>174.6405</v>
      </c>
      <c r="C29" s="39">
        <f>IF(ISERROR(B29*3.6/1000000/'E Balans VL '!Z10*100),0,B29*3.6/1000000/'E Balans VL '!Z10*100)</f>
        <v>1.9677475529743513E-2</v>
      </c>
      <c r="D29" s="237" t="s">
        <v>691</v>
      </c>
      <c r="F29" s="6"/>
    </row>
    <row r="30" spans="1:18">
      <c r="A30" s="231" t="s">
        <v>49</v>
      </c>
      <c r="B30" s="33">
        <f>IF(ISERROR(TER_ander_ele_kWh/1000),0,TER_ander_ele_kWh/1000)</f>
        <v>4903.13</v>
      </c>
      <c r="C30" s="39">
        <f>IF(ISERROR(B30*3.6/1000000/'E Balans VL '!Z14*100),0,B30*3.6/1000000/'E Balans VL '!Z14*100)</f>
        <v>0.3708153403778589</v>
      </c>
      <c r="D30" s="237" t="s">
        <v>691</v>
      </c>
      <c r="F30" s="6"/>
    </row>
    <row r="31" spans="1:18">
      <c r="A31" s="231" t="s">
        <v>54</v>
      </c>
      <c r="B31" s="33">
        <f>IF(ISERROR(TER_onderwijs_ele_kWh/1000),0,TER_onderwijs_ele_kWh/1000)</f>
        <v>89.335470000000001</v>
      </c>
      <c r="C31" s="39">
        <f>IF(ISERROR(B31*3.6/1000000/'E Balans VL '!Z11*100),0,B31*3.6/1000000/'E Balans VL '!Z11*100)</f>
        <v>1.854396973809452E-2</v>
      </c>
      <c r="D31" s="237" t="s">
        <v>691</v>
      </c>
    </row>
    <row r="32" spans="1:18">
      <c r="A32" s="231" t="s">
        <v>259</v>
      </c>
      <c r="B32" s="33">
        <f>IF(ISERROR(TER_rest_ele_kWh/1000),0,TER_rest_ele_kWh/1000)</f>
        <v>2430.8359999999998</v>
      </c>
      <c r="C32" s="39">
        <f>IF(ISERROR(B32*3.6/1000000/'E Balans VL '!Z8*100),0,B32*3.6/1000000/'E Balans VL '!Z8*100)</f>
        <v>2.0478363287608058E-2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86269.820600000006</v>
      </c>
      <c r="C5" s="17">
        <f>IF(ISERROR('Eigen informatie GS &amp; warmtenet'!B59),0,'Eigen informatie GS &amp; warmtenet'!B59)</f>
        <v>0</v>
      </c>
      <c r="D5" s="30">
        <f>SUM(D6:D15)</f>
        <v>80964.973718012319</v>
      </c>
      <c r="E5" s="17">
        <f>SUM(E6:E15)</f>
        <v>3383.7643458600273</v>
      </c>
      <c r="F5" s="17">
        <f>SUM(F6:F15)</f>
        <v>15753.940274790111</v>
      </c>
      <c r="G5" s="18"/>
      <c r="H5" s="17"/>
      <c r="I5" s="17"/>
      <c r="J5" s="17">
        <f>SUM(J6:J15)</f>
        <v>267.82819327848136</v>
      </c>
      <c r="K5" s="17"/>
      <c r="L5" s="17"/>
      <c r="M5" s="17"/>
      <c r="N5" s="17">
        <f>SUM(N6:N15)</f>
        <v>3559.1811945187469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387.67149999999998</v>
      </c>
      <c r="C8" s="33"/>
      <c r="D8" s="37">
        <f>IF( ISERROR(IND_metaal_Gas_kWH/1000),0,IND_metaal_Gas_kWH/1000)*0.902</f>
        <v>66.385310390626529</v>
      </c>
      <c r="E8" s="33">
        <f>C30*'E Balans VL '!I18/100/3.6*1000000</f>
        <v>9.7020608238179982</v>
      </c>
      <c r="F8" s="33">
        <f>C30*'E Balans VL '!L18/100/3.6*1000000+C30*'E Balans VL '!N18/100/3.6*1000000</f>
        <v>121.49817647721352</v>
      </c>
      <c r="G8" s="34"/>
      <c r="H8" s="33"/>
      <c r="I8" s="33"/>
      <c r="J8" s="40">
        <f>C30*'E Balans VL '!D18/100/3.6*1000000+C30*'E Balans VL '!E18/100/3.6*1000000</f>
        <v>0</v>
      </c>
      <c r="K8" s="33"/>
      <c r="L8" s="33"/>
      <c r="M8" s="33"/>
      <c r="N8" s="33">
        <f>C30*'E Balans VL '!Y18/100/3.6*1000000</f>
        <v>9.7393141752746857</v>
      </c>
      <c r="O8" s="33"/>
      <c r="P8" s="33"/>
      <c r="R8" s="32"/>
    </row>
    <row r="9" spans="1:18">
      <c r="A9" s="6" t="s">
        <v>32</v>
      </c>
      <c r="B9" s="37">
        <f t="shared" si="0"/>
        <v>986.66539999999998</v>
      </c>
      <c r="C9" s="33"/>
      <c r="D9" s="37">
        <f>IF( ISERROR(IND_andere_gas_kWh/1000),0,IND_andere_gas_kWh/1000)*0.902</f>
        <v>877.85630404429992</v>
      </c>
      <c r="E9" s="33">
        <f>C31*'E Balans VL '!I19/100/3.6*1000000</f>
        <v>271.29251686376614</v>
      </c>
      <c r="F9" s="33">
        <f>C31*'E Balans VL '!L19/100/3.6*1000000+C31*'E Balans VL '!N19/100/3.6*1000000</f>
        <v>777.66402730674304</v>
      </c>
      <c r="G9" s="34"/>
      <c r="H9" s="33"/>
      <c r="I9" s="33"/>
      <c r="J9" s="40">
        <f>C31*'E Balans VL '!D19/100/3.6*1000000+C31*'E Balans VL '!E19/100/3.6*1000000</f>
        <v>0</v>
      </c>
      <c r="K9" s="33"/>
      <c r="L9" s="33"/>
      <c r="M9" s="33"/>
      <c r="N9" s="33">
        <f>C31*'E Balans VL '!Y19/100/3.6*1000000</f>
        <v>79.486386376601928</v>
      </c>
      <c r="O9" s="33"/>
      <c r="P9" s="33"/>
      <c r="R9" s="32"/>
    </row>
    <row r="10" spans="1:18">
      <c r="A10" s="6" t="s">
        <v>40</v>
      </c>
      <c r="B10" s="37">
        <f t="shared" si="0"/>
        <v>148.39770000000001</v>
      </c>
      <c r="C10" s="33"/>
      <c r="D10" s="37">
        <f>IF( ISERROR(IND_voed_gas_kWh/1000),0,IND_voed_gas_kWh/1000)*0.902</f>
        <v>208.15503294421319</v>
      </c>
      <c r="E10" s="33">
        <f>C32*'E Balans VL '!I20/100/3.6*1000000</f>
        <v>1.5128327987405872</v>
      </c>
      <c r="F10" s="33">
        <f>C32*'E Balans VL '!L20/100/3.6*1000000+C32*'E Balans VL '!N20/100/3.6*1000000</f>
        <v>280.3223271619807</v>
      </c>
      <c r="G10" s="34"/>
      <c r="H10" s="33"/>
      <c r="I10" s="33"/>
      <c r="J10" s="40">
        <f>C32*'E Balans VL '!D20/100/3.6*1000000+C32*'E Balans VL '!E20/100/3.6*1000000</f>
        <v>3.5516425204727216</v>
      </c>
      <c r="K10" s="33"/>
      <c r="L10" s="33"/>
      <c r="M10" s="33"/>
      <c r="N10" s="33">
        <f>C32*'E Balans VL '!Y20/100/3.6*1000000</f>
        <v>78.222681218996271</v>
      </c>
      <c r="O10" s="33"/>
      <c r="P10" s="33"/>
      <c r="R10" s="32"/>
    </row>
    <row r="11" spans="1:18">
      <c r="A11" s="6" t="s">
        <v>39</v>
      </c>
      <c r="B11" s="37">
        <f t="shared" si="0"/>
        <v>15505.757</v>
      </c>
      <c r="C11" s="33"/>
      <c r="D11" s="37">
        <f>IF( ISERROR(IND_textiel_gas_kWh/1000),0,IND_textiel_gas_kWh/1000)*0.902</f>
        <v>1597.2935675771919</v>
      </c>
      <c r="E11" s="33">
        <f>C33*'E Balans VL '!I21/100/3.6*1000000</f>
        <v>41.097841737712962</v>
      </c>
      <c r="F11" s="33">
        <f>C33*'E Balans VL '!L21/100/3.6*1000000+C33*'E Balans VL '!N21/100/3.6*1000000</f>
        <v>692.50310299939292</v>
      </c>
      <c r="G11" s="34"/>
      <c r="H11" s="33"/>
      <c r="I11" s="33"/>
      <c r="J11" s="40">
        <f>C33*'E Balans VL '!D21/100/3.6*1000000+C33*'E Balans VL '!E21/100/3.6*1000000</f>
        <v>0</v>
      </c>
      <c r="K11" s="33"/>
      <c r="L11" s="33"/>
      <c r="M11" s="33"/>
      <c r="N11" s="33">
        <f>C33*'E Balans VL '!Y21/100/3.6*1000000</f>
        <v>146.13067555693863</v>
      </c>
      <c r="O11" s="33"/>
      <c r="P11" s="33"/>
      <c r="R11" s="32"/>
    </row>
    <row r="12" spans="1:18">
      <c r="A12" s="6" t="s">
        <v>36</v>
      </c>
      <c r="B12" s="37">
        <f t="shared" si="0"/>
        <v>9663.85</v>
      </c>
      <c r="C12" s="33"/>
      <c r="D12" s="37">
        <f>IF( ISERROR(IND_min_gas_kWh/1000),0,IND_min_gas_kWh/1000)*0.902</f>
        <v>0</v>
      </c>
      <c r="E12" s="33">
        <f>C34*'E Balans VL '!I22/100/3.6*1000000</f>
        <v>29.267430179109684</v>
      </c>
      <c r="F12" s="33">
        <f>C34*'E Balans VL '!L22/100/3.6*1000000+C34*'E Balans VL '!N22/100/3.6*1000000</f>
        <v>302.00362086075836</v>
      </c>
      <c r="G12" s="34"/>
      <c r="H12" s="33"/>
      <c r="I12" s="33"/>
      <c r="J12" s="40">
        <f>C34*'E Balans VL '!D22/100/3.6*1000000+C34*'E Balans VL '!E22/100/3.6*1000000</f>
        <v>14.329344285843389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59577.478999999999</v>
      </c>
      <c r="C15" s="33"/>
      <c r="D15" s="37">
        <f>IF( ISERROR(IND_rest_gas_kWh/1000),0,IND_rest_gas_kWh/1000)*0.902</f>
        <v>78215.283503055995</v>
      </c>
      <c r="E15" s="33">
        <f>C37*'E Balans VL '!I15/100/3.6*1000000</f>
        <v>3030.89166345688</v>
      </c>
      <c r="F15" s="33">
        <f>C37*'E Balans VL '!L15/100/3.6*1000000+C37*'E Balans VL '!N15/100/3.6*1000000</f>
        <v>13579.949019984024</v>
      </c>
      <c r="G15" s="34"/>
      <c r="H15" s="33"/>
      <c r="I15" s="33"/>
      <c r="J15" s="40">
        <f>C37*'E Balans VL '!D15/100/3.6*1000000+C37*'E Balans VL '!E15/100/3.6*1000000</f>
        <v>249.94720647216525</v>
      </c>
      <c r="K15" s="33"/>
      <c r="L15" s="33"/>
      <c r="M15" s="33"/>
      <c r="N15" s="33">
        <f>C37*'E Balans VL '!Y15/100/3.6*1000000</f>
        <v>3245.6021371909355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86269.820600000006</v>
      </c>
      <c r="C18" s="21">
        <f>C5+C16</f>
        <v>0</v>
      </c>
      <c r="D18" s="21">
        <f>MAX((D5+D16),0)</f>
        <v>80964.973718012319</v>
      </c>
      <c r="E18" s="21">
        <f>MAX((E5+E16),0)</f>
        <v>3383.7643458600273</v>
      </c>
      <c r="F18" s="21">
        <f>MAX((F5+F16),0)</f>
        <v>15753.940274790111</v>
      </c>
      <c r="G18" s="21"/>
      <c r="H18" s="21"/>
      <c r="I18" s="21"/>
      <c r="J18" s="21">
        <f>MAX((J5+J16),0)</f>
        <v>267.82819327848136</v>
      </c>
      <c r="K18" s="21"/>
      <c r="L18" s="21">
        <f>MAX((L5+L16),0)</f>
        <v>0</v>
      </c>
      <c r="M18" s="21"/>
      <c r="N18" s="21">
        <f>MAX((N5+N16),0)</f>
        <v>3559.1811945187469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0.20844728693592285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17982.710048518788</v>
      </c>
      <c r="C22" s="23">
        <f ca="1">C18*C20</f>
        <v>0</v>
      </c>
      <c r="D22" s="23">
        <f>D18*D20</f>
        <v>16354.92469103849</v>
      </c>
      <c r="E22" s="23">
        <f>E18*E20</f>
        <v>768.11450651022619</v>
      </c>
      <c r="F22" s="23">
        <f>F18*F20</f>
        <v>4206.3020533689596</v>
      </c>
      <c r="G22" s="23"/>
      <c r="H22" s="23"/>
      <c r="I22" s="23"/>
      <c r="J22" s="23">
        <f>J18*J20</f>
        <v>94.811180420582403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387.67149999999998</v>
      </c>
      <c r="C30" s="39">
        <f>IF(ISERROR(B30*3.6/1000000/'E Balans VL '!Z18*100),0,B30*3.6/1000000/'E Balans VL '!Z18*100)</f>
        <v>5.4261090704539099E-2</v>
      </c>
      <c r="D30" s="237" t="s">
        <v>691</v>
      </c>
    </row>
    <row r="31" spans="1:18">
      <c r="A31" s="6" t="s">
        <v>32</v>
      </c>
      <c r="B31" s="37">
        <f>IF( ISERROR(IND_ander_ele_kWh/1000),0,IND_ander_ele_kWh/1000)</f>
        <v>986.66539999999998</v>
      </c>
      <c r="C31" s="39">
        <f>IF(ISERROR(B31*3.6/1000000/'E Balans VL '!Z19*100),0,B31*3.6/1000000/'E Balans VL '!Z19*100)</f>
        <v>4.3186184498131719E-2</v>
      </c>
      <c r="D31" s="237" t="s">
        <v>691</v>
      </c>
    </row>
    <row r="32" spans="1:18">
      <c r="A32" s="171" t="s">
        <v>40</v>
      </c>
      <c r="B32" s="37">
        <f>IF( ISERROR(IND_voed_ele_kWh/1000),0,IND_voed_ele_kWh/1000)</f>
        <v>148.39770000000001</v>
      </c>
      <c r="C32" s="39">
        <f>IF(ISERROR(B32*3.6/1000000/'E Balans VL '!Z20*100),0,B32*3.6/1000000/'E Balans VL '!Z20*100)</f>
        <v>3.6738342475461171E-2</v>
      </c>
      <c r="D32" s="237" t="s">
        <v>691</v>
      </c>
    </row>
    <row r="33" spans="1:5">
      <c r="A33" s="171" t="s">
        <v>39</v>
      </c>
      <c r="B33" s="37">
        <f>IF( ISERROR(IND_textiel_ele_kWh/1000),0,IND_textiel_ele_kWh/1000)</f>
        <v>15505.757</v>
      </c>
      <c r="C33" s="39">
        <f>IF(ISERROR(B33*3.6/1000000/'E Balans VL '!Z21*100),0,B33*3.6/1000000/'E Balans VL '!Z21*100)</f>
        <v>1.7472256774740329</v>
      </c>
      <c r="D33" s="237" t="s">
        <v>691</v>
      </c>
    </row>
    <row r="34" spans="1:5">
      <c r="A34" s="171" t="s">
        <v>36</v>
      </c>
      <c r="B34" s="37">
        <f>IF( ISERROR(IND_min_ele_kWh/1000),0,IND_min_ele_kWh/1000)</f>
        <v>9663.85</v>
      </c>
      <c r="C34" s="39">
        <f>IF(ISERROR(B34*3.6/1000000/'E Balans VL '!Z22*100),0,B34*3.6/1000000/'E Balans VL '!Z22*100)</f>
        <v>0.27422063661094981</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59577.478999999999</v>
      </c>
      <c r="C37" s="39">
        <f>IF(ISERROR(B37*3.6/1000000/'E Balans VL '!Z15*100),0,B37*3.6/1000000/'E Balans VL '!Z15*100)</f>
        <v>0.44175680668896339</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5892.7782719999996</v>
      </c>
      <c r="C5" s="17">
        <f>'Eigen informatie GS &amp; warmtenet'!B60</f>
        <v>0</v>
      </c>
      <c r="D5" s="30">
        <f>IF(ISERROR(SUM(LB_lb_gas_kWh,LB_rest_gas_kWh)/1000),0,SUM(LB_lb_gas_kWh,LB_rest_gas_kWh)/1000)*0.902</f>
        <v>1095.6359530401903</v>
      </c>
      <c r="E5" s="17">
        <f>B17*'E Balans VL '!I25/3.6*1000000/100</f>
        <v>54.581380477678877</v>
      </c>
      <c r="F5" s="17">
        <f>B17*('E Balans VL '!L25/3.6*1000000+'E Balans VL '!N25/3.6*1000000)/100</f>
        <v>14951.10104917281</v>
      </c>
      <c r="G5" s="18"/>
      <c r="H5" s="17"/>
      <c r="I5" s="17"/>
      <c r="J5" s="17">
        <f>('E Balans VL '!D25+'E Balans VL '!E25)/3.6*1000000*landbouw!B17/100</f>
        <v>903.42867269505291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5892.7782719999996</v>
      </c>
      <c r="C8" s="21">
        <f>C5+C6</f>
        <v>0</v>
      </c>
      <c r="D8" s="21">
        <f>MAX((D5+D6),0)</f>
        <v>1095.6359530401903</v>
      </c>
      <c r="E8" s="21">
        <f>MAX((E5+E6),0)</f>
        <v>54.581380477678877</v>
      </c>
      <c r="F8" s="21">
        <f>MAX((F5+F6),0)</f>
        <v>14951.10104917281</v>
      </c>
      <c r="G8" s="21"/>
      <c r="H8" s="21"/>
      <c r="I8" s="21"/>
      <c r="J8" s="21">
        <f>MAX((J5+J6),0)</f>
        <v>903.42867269505291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0.20844728693592285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1228.3336433133554</v>
      </c>
      <c r="C12" s="23">
        <f ca="1">C8*C10</f>
        <v>0</v>
      </c>
      <c r="D12" s="23">
        <f>D8*D10</f>
        <v>221.31846251411847</v>
      </c>
      <c r="E12" s="23">
        <f>E8*E10</f>
        <v>12.389973368433106</v>
      </c>
      <c r="F12" s="23">
        <f>F8*F10</f>
        <v>3991.9439801291405</v>
      </c>
      <c r="G12" s="23"/>
      <c r="H12" s="23"/>
      <c r="I12" s="23"/>
      <c r="J12" s="23">
        <f>J8*J10</f>
        <v>319.81375013404869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0.83782812178180222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792.77037168666891</v>
      </c>
      <c r="C26" s="247">
        <f>B26*'GWP N2O_CH4'!B5</f>
        <v>16648.177805420048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576.87745021482147</v>
      </c>
      <c r="C27" s="247">
        <f>B27*'GWP N2O_CH4'!B5</f>
        <v>12114.426454511251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11.43157545369977</v>
      </c>
      <c r="C28" s="247">
        <f>B28*'GWP N2O_CH4'!B4</f>
        <v>3543.7883906469287</v>
      </c>
      <c r="D28" s="50"/>
    </row>
    <row r="29" spans="1:4">
      <c r="A29" s="41" t="s">
        <v>276</v>
      </c>
      <c r="B29" s="247">
        <f>B34*'ha_N2O bodem landbouw'!B4</f>
        <v>33.151894035127604</v>
      </c>
      <c r="C29" s="247">
        <f>B29*'GWP N2O_CH4'!B4</f>
        <v>10277.087150889558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7.4353857848726721E-3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5.0267742470339847E-5</v>
      </c>
      <c r="C5" s="438" t="s">
        <v>210</v>
      </c>
      <c r="D5" s="423">
        <f>SUM(D6:D11)</f>
        <v>9.7182419865633112E-5</v>
      </c>
      <c r="E5" s="423">
        <f>SUM(E6:E11)</f>
        <v>1.0478506861764784E-3</v>
      </c>
      <c r="F5" s="436" t="s">
        <v>210</v>
      </c>
      <c r="G5" s="423">
        <f>SUM(G6:G11)</f>
        <v>0.38151826494795893</v>
      </c>
      <c r="H5" s="423">
        <f>SUM(H6:H11)</f>
        <v>6.0453343312315923E-2</v>
      </c>
      <c r="I5" s="438" t="s">
        <v>210</v>
      </c>
      <c r="J5" s="438" t="s">
        <v>210</v>
      </c>
      <c r="K5" s="438" t="s">
        <v>210</v>
      </c>
      <c r="L5" s="438" t="s">
        <v>210</v>
      </c>
      <c r="M5" s="423">
        <f>SUM(M6:M11)</f>
        <v>2.3963342198288419E-2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1.5311039907881151E-5</v>
      </c>
      <c r="C6" s="424"/>
      <c r="D6" s="866">
        <f>vkm_GW_PW*SUMIFS(TableVerdeelsleutelVkm[CNG],TableVerdeelsleutelVkm[Voertuigtype],"Lichte voertuigen")*SUMIFS(TableECFTransport[EnergieConsumptieFactor (PJ per km)],TableECFTransport[Index],CONCATENATE($A6,"_CNG_CNG"))</f>
        <v>2.6717527124357464E-5</v>
      </c>
      <c r="E6" s="866">
        <f>vkm_GW_PW*SUMIFS(TableVerdeelsleutelVkm[LPG],TableVerdeelsleutelVkm[Voertuigtype],"Lichte voertuigen")*SUMIFS(TableECFTransport[EnergieConsumptieFactor (PJ per km)],TableECFTransport[Index],CONCATENATE($A6,"_LPG_LPG"))</f>
        <v>2.5877238379385796E-4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6.0815962870632602E-2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1.6361659646093183E-2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4.0250138907505298E-3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4.6252429319515079E-2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8.9698162277143048E-7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2.6816112863734271E-3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7.1246705582082988E-6</v>
      </c>
      <c r="C8" s="424"/>
      <c r="D8" s="426">
        <f>vkm_NGW_PW*SUMIFS(TableVerdeelsleutelVkm[CNG],TableVerdeelsleutelVkm[Voertuigtype],"Lichte voertuigen")*SUMIFS(TableECFTransport[EnergieConsumptieFactor (PJ per km)],TableECFTransport[Index],CONCATENATE($A8,"_CNG_CNG"))</f>
        <v>2.1288883123623194E-5</v>
      </c>
      <c r="E8" s="426">
        <f>vkm_NGW_PW*SUMIFS(TableVerdeelsleutelVkm[LPG],TableVerdeelsleutelVkm[Voertuigtype],"Lichte voertuigen")*SUMIFS(TableECFTransport[EnergieConsumptieFactor (PJ per km)],TableECFTransport[Index],CONCATENATE($A8,"_LPG_LPG"))</f>
        <v>1.9513190205987666E-4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4.3046449575358366E-2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1.2587961107469953E-2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2.8796794998985921E-3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1.0096497801542922E-2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2.4253590989199651E-7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5.8537354227332751E-4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2.7832032004250396E-5</v>
      </c>
      <c r="C10" s="424"/>
      <c r="D10" s="426">
        <f>vkm_SW_PW*SUMIFS(TableVerdeelsleutelVkm[CNG],TableVerdeelsleutelVkm[Voertuigtype],"Lichte voertuigen")*SUMIFS(TableECFTransport[EnergieConsumptieFactor (PJ per km)],TableECFTransport[Index],CONCATENATE($A10,"_CNG_CNG"))</f>
        <v>4.917600961765245E-5</v>
      </c>
      <c r="E10" s="426">
        <f>vkm_SW_PW*SUMIFS(TableVerdeelsleutelVkm[LPG],TableVerdeelsleutelVkm[Voertuigtype],"Lichte voertuigen")*SUMIFS(TableECFTransport[EnergieConsumptieFactor (PJ per km)],TableECFTransport[Index],CONCATENATE($A10,"_LPG_LPG"))</f>
        <v>5.9394640032274385E-4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0.12551339668165259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3.1500609137737771E-2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8.2377682077519158E-3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9.5793528699257405E-2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1.9739034823514856E-6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5.5538957712406257E-3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13.963261797316624</v>
      </c>
      <c r="C14" s="21"/>
      <c r="D14" s="21">
        <f t="shared" ref="D14:M14" si="0">((D5)*10^9/3600)+D12</f>
        <v>26.995116629342533</v>
      </c>
      <c r="E14" s="21">
        <f t="shared" si="0"/>
        <v>291.06963504902177</v>
      </c>
      <c r="F14" s="21"/>
      <c r="G14" s="21">
        <f t="shared" si="0"/>
        <v>105977.29581887748</v>
      </c>
      <c r="H14" s="21">
        <f t="shared" si="0"/>
        <v>16792.595364532201</v>
      </c>
      <c r="I14" s="21"/>
      <c r="J14" s="21"/>
      <c r="K14" s="21"/>
      <c r="L14" s="21"/>
      <c r="M14" s="21">
        <f t="shared" si="0"/>
        <v>6656.4839439690049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0.20844728693592285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2.9106040384266683</v>
      </c>
      <c r="C18" s="23"/>
      <c r="D18" s="23">
        <f t="shared" ref="D18:M18" si="1">D14*D16</f>
        <v>5.453013559127192</v>
      </c>
      <c r="E18" s="23">
        <f t="shared" si="1"/>
        <v>66.072807156127951</v>
      </c>
      <c r="F18" s="23"/>
      <c r="G18" s="23">
        <f t="shared" si="1"/>
        <v>28295.937983640288</v>
      </c>
      <c r="H18" s="23">
        <f t="shared" si="1"/>
        <v>4181.3562457685175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3.5988744621505372E-3</v>
      </c>
      <c r="H50" s="319">
        <f t="shared" si="2"/>
        <v>0</v>
      </c>
      <c r="I50" s="319">
        <f t="shared" si="2"/>
        <v>0</v>
      </c>
      <c r="J50" s="319">
        <f t="shared" si="2"/>
        <v>0</v>
      </c>
      <c r="K50" s="319">
        <f t="shared" si="2"/>
        <v>0</v>
      </c>
      <c r="L50" s="319">
        <f t="shared" si="2"/>
        <v>0</v>
      </c>
      <c r="M50" s="319">
        <f t="shared" si="2"/>
        <v>2.0570071033393155E-4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3.5988744621505372E-3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2.0570071033393155E-4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999.68735059737151</v>
      </c>
      <c r="H54" s="21">
        <f t="shared" si="3"/>
        <v>0</v>
      </c>
      <c r="I54" s="21">
        <f t="shared" si="3"/>
        <v>0</v>
      </c>
      <c r="J54" s="21">
        <f t="shared" si="3"/>
        <v>0</v>
      </c>
      <c r="K54" s="21">
        <f t="shared" si="3"/>
        <v>0</v>
      </c>
      <c r="L54" s="21">
        <f t="shared" si="3"/>
        <v>0</v>
      </c>
      <c r="M54" s="21">
        <f t="shared" si="3"/>
        <v>57.139086203869873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0.20844728693592285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266.9165226094982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7265.2722348242751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7308.9222348242747</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33037</v>
      </c>
      <c r="C28" s="771">
        <v>8980</v>
      </c>
      <c r="D28" s="628" t="s">
        <v>913</v>
      </c>
      <c r="E28" s="627" t="s">
        <v>914</v>
      </c>
      <c r="F28" s="627" t="s">
        <v>915</v>
      </c>
      <c r="G28" s="627" t="s">
        <v>916</v>
      </c>
      <c r="H28" s="627" t="s">
        <v>917</v>
      </c>
      <c r="I28" s="627" t="s">
        <v>914</v>
      </c>
      <c r="J28" s="770">
        <v>41379</v>
      </c>
      <c r="K28" s="770">
        <v>41379</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9.6999999999999993</v>
      </c>
      <c r="N31" s="585">
        <f ca="1">SUMIF($Z$28:AD28,"tertiair",N28:N28)</f>
        <v>43.649999999999991</v>
      </c>
      <c r="O31" s="585">
        <f ca="1">SUMIF($Z$28:AE28,"tertiair",O28:O28)</f>
        <v>62.357142857142847</v>
      </c>
      <c r="P31" s="585">
        <f ca="1">SUMIF($Z$28:AF28,"tertiair",P28:P28)</f>
        <v>0</v>
      </c>
      <c r="Q31" s="585">
        <f ca="1">SUMIF($Z$28:AG28,"tertiair",Q28:Q28)</f>
        <v>124.71428571428569</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2020-06-20T16:07:14Z</dcterms:modified>
</cp:coreProperties>
</file>