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P4" i="48"/>
  <c r="P22" i="48" s="1"/>
  <c r="Q11" i="14"/>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N63" i="14"/>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<sst xmlns="http://schemas.openxmlformats.org/spreadsheetml/2006/main" count="2443" uniqueCount="919">
  <si>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</si>
  <si>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</si>
  <si>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</si>
  <si>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</si>
  <si>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</si>
  <si>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</si>
  <si>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</si>
  <si>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</si>
  <si>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</si>
  <si>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</si>
  <si>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</si>
  <si>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</si>
  <si>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</si>
  <si>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</si>
  <si>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</si>
  <si>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</si>
  <si>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</si>
  <si>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</si>
  <si>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</si>
  <si>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</si>
  <si>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</si>
  <si>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</si>
  <si>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</si>
  <si>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</si>
  <si>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</si>
  <si>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</si>
  <si>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</si>
  <si>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</si>
  <si>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</si>
  <si>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</si>
  <si>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</si>
  <si>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</si>
  <si>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</si>
  <si>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</si>
  <si>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</si>
  <si>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</si>
  <si>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</si>
  <si>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</si>
  <si>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</si>
  <si>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</si>
  <si>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</si>
  <si>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</si>
  <si>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</si>
  <si>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</si>
  <si>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</si>
  <si>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</si>
  <si>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</si>
  <si>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</si>
  <si>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</si>
  <si>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</si>
  <si>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</si>
  <si>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</si>
  <si>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</si>
  <si>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</si>
  <si>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</si>
  <si>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</si>
  <si>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</si>
  <si>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</si>
  <si>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</si>
  <si>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</si>
  <si>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</si>
  <si>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</si>
  <si>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</si>
  <si>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</si>
  <si>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</si>
  <si>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</si>
  <si>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</si>
  <si>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</si>
  <si>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</si>
  <si>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</si>
  <si>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</si>
  <si>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</si>
  <si>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</si>
  <si>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</si>
  <si>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</si>
  <si>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</si>
  <si>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</si>
  <si>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</si>
  <si>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</si>
  <si>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</si>
  <si>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</si>
  <si>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</si>
  <si>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</si>
  <si>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</si>
  <si>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</si>
  <si>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</si>
  <si>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</si>
  <si>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</si>
  <si>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</si>
  <si>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</si>
  <si>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</si>
  <si>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</si>
  <si>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</si>
  <si>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</si>
  <si>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</si>
  <si>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</si>
  <si>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</si>
  <si>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</si>
  <si>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</si>
  <si>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</si>
  <si>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</si>
  <si>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</si>
  <si>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</si>
  <si>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</si>
  <si>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</si>
  <si>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</si>
  <si>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</si>
  <si>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</si>
  <si>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</si>
  <si>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</si>
  <si>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</si>
  <si>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</si>
  <si>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</si>
  <si>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</si>
  <si>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</si>
  <si>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</si>
  <si>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</si>
  <si>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</si>
  <si>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</si>
  <si>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</si>
  <si>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</si>
  <si>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</si>
  <si>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</si>
  <si>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</si>
  <si>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</si>
  <si>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</si>
  <si>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</si>
  <si>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</si>
  <si>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</si>
  <si>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</si>
  <si>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</si>
  <si>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</si>
  <si>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</si>
  <si>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</si>
  <si>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</si>
  <si>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</si>
  <si>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</si>
  <si>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</si>
  <si>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</si>
  <si>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</si>
  <si>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</si>
  <si>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</si>
  <si>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</si>
  <si>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</si>
  <si>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</si>
  <si>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</si>
  <si>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</si>
  <si>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</si>
  <si>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</si>
  <si>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</si>
  <si>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</si>
  <si>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</si>
  <si>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</si>
  <si>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</si>
  <si>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</si>
  <si>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</si>
  <si>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</si>
  <si>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</si>
  <si>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</si>
  <si>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</si>
  <si>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</si>
  <si>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</si>
  <si>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</si>
  <si>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</si>
  <si>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</si>
  <si>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</si>
  <si>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</si>
  <si>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</si>
  <si>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</si>
  <si>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</si>
  <si>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</si>
  <si>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</si>
  <si>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</si>
  <si>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</si>
  <si>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</si>
  <si>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</si>
  <si>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</si>
  <si>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</si>
  <si>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</si>
  <si>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</si>
  <si>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</si>
  <si>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</si>
  <si>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</si>
  <si>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</si>
  <si>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</si>
  <si>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</si>
  <si>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</si>
  <si>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</si>
  <si>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</si>
  <si>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</si>
  <si>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</si>
  <si>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</si>
  <si>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</si>
  <si>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</si>
  <si>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</si>
  <si>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</si>
  <si>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</si>
  <si>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</si>
  <si>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</si>
  <si>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</si>
  <si>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</si>
  <si>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</si>
  <si>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</si>
  <si>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</si>
  <si>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</si>
  <si>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</si>
  <si>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</si>
  <si>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</si>
  <si>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</si>
  <si>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</si>
  <si>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</si>
  <si>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</si>
  <si>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</si>
  <si>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</si>
  <si>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</si>
  <si>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</si>
  <si>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</si>
  <si>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</si>
  <si>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</si>
  <si>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</si>
  <si>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</si>
  <si>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</si>
  <si>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</si>
  <si>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</si>
  <si>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</si>
  <si>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</si>
  <si>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</si>
  <si>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</si>
  <si>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</si>
  <si>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</si>
  <si>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</si>
  <si>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</si>
  <si>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</si>
  <si>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</si>
  <si>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</si>
  <si>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</si>
  <si>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</si>
  <si>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</si>
  <si>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</si>
  <si>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</si>
  <si>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</si>
  <si>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</si>
  <si>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</si>
  <si>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</si>
  <si>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</si>
  <si>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</si>
  <si>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</si>
  <si>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</si>
  <si>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</si>
  <si>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</si>
  <si>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</si>
  <si>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</si>
  <si>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</si>
  <si>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</si>
  <si>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</si>
  <si>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</si>
  <si>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</si>
  <si>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</si>
  <si>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</si>
  <si>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</si>
  <si>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</si>
  <si>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</si>
  <si>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</si>
  <si>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</si>
  <si>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</si>
  <si>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</si>
  <si>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</si>
  <si>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</si>
  <si>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</si>
  <si>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</si>
  <si>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</si>
  <si>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</si>
  <si>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</si>
  <si>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</si>
  <si>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</si>
  <si>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</si>
  <si>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</si>
  <si>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</si>
  <si>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</si>
  <si>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</si>
  <si>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</si>
  <si>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</si>
  <si>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</si>
  <si>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</si>
  <si>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</si>
  <si>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</si>
  <si>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</si>
  <si>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</si>
  <si>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</si>
  <si>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</si>
  <si>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</si>
  <si>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</si>
  <si>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</si>
  <si>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</si>
  <si>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</si>
  <si>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</si>
  <si>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</si>
  <si>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</si>
  <si>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</si>
  <si>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</si>
  <si>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</si>
  <si>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</si>
  <si>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</si>
  <si>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</si>
  <si>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</si>
  <si>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</si>
  <si>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</si>
  <si>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</si>
  <si>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</si>
  <si>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</si>
  <si>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</si>
  <si>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</si>
  <si>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</si>
  <si>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</si>
  <si>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</si>
  <si>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</si>
  <si>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</si>
  <si>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</si>
  <si>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</si>
  <si>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</si>
  <si>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</si>
  <si>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</si>
  <si>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</si>
  <si>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</si>
  <si>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</si>
  <si>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</si>
  <si>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</si>
  <si>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</si>
  <si>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</si>
  <si>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</si>
  <si>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</si>
  <si>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</si>
  <si>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</si>
  <si>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</si>
  <si>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</si>
  <si>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</si>
  <si>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</si>
  <si>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</si>
  <si>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</si>
  <si>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</si>
  <si>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</si>
  <si>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</si>
  <si>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</si>
  <si>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</si>
  <si>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</si>
  <si>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</si>
  <si>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</si>
  <si>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</si>
  <si>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</si>
  <si>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</si>
  <si>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</si>
  <si>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</si>
  <si>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</si>
  <si>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</si>
  <si>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</si>
  <si>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</si>
  <si>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</si>
  <si>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</si>
  <si>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</si>
  <si>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</si>
  <si>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</si>
  <si>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</si>
  <si>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</si>
  <si>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</si>
  <si>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</si>
  <si>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</si>
  <si>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</si>
  <si>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</si>
  <si>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</si>
  <si>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</si>
  <si>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</si>
  <si>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</si>
  <si>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</si>
  <si>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</si>
  <si>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</si>
  <si>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</si>
  <si>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</si>
  <si>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</si>
  <si>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</si>
  <si>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</si>
  <si>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</si>
  <si>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</si>
  <si>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</si>
  <si>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</si>
  <si>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</si>
  <si>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</si>
  <si>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</si>
  <si>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</si>
  <si>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</si>
  <si>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</si>
  <si>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</si>
  <si>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</si>
  <si>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</si>
  <si>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</si>
  <si>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</si>
  <si>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</si>
  <si>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</si>
  <si>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</si>
  <si>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</si>
  <si>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</si>
  <si>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</si>
  <si>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</si>
  <si>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</si>
  <si>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</si>
  <si>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</si>
  <si>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</si>
  <si>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</si>
  <si>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</si>
  <si>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</si>
  <si>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</si>
  <si>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</si>
  <si>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</si>
  <si>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</si>
  <si>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</si>
  <si>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</si>
  <si>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</si>
  <si>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</si>
  <si>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</si>
  <si>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</si>
  <si>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</si>
  <si>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</si>
  <si>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</si>
  <si>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</si>
  <si>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</si>
  <si>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</si>
  <si>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</si>
  <si>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</si>
  <si>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</si>
  <si>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</si>
  <si>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</si>
  <si>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</si>
  <si>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</si>
  <si>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</si>
  <si>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</si>
  <si>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</si>
  <si>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</si>
  <si>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</si>
  <si>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</si>
  <si>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</si>
  <si>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</si>
  <si>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</si>
  <si>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</si>
  <si>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</si>
  <si>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</si>
  <si>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</si>
  <si>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</si>
  <si>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</si>
  <si>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</si>
  <si>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</si>
  <si>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</si>
  <si>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</si>
  <si>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</si>
  <si>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</si>
  <si>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</si>
  <si>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</si>
  <si>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</si>
  <si>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</si>
  <si>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</si>
  <si>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</si>
  <si>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</si>
  <si>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</si>
  <si>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</si>
  <si>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</si>
  <si>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</si>
  <si>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</si>
  <si>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</si>
  <si>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</si>
  <si>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</si>
  <si>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</si>
  <si>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</si>
  <si>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</si>
  <si>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</si>
  <si>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</si>
  <si>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</si>
  <si>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</si>
  <si>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</si>
  <si>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</si>
  <si>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</si>
  <si>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</si>
  <si>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</si>
  <si>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</si>
  <si>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</si>
  <si>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</si>
  <si>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</si>
  <si>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</si>
  <si>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</si>
  <si>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</si>
  <si>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</si>
  <si>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</si>
  <si>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</si>
  <si>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</si>
  <si>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</si>
  <si>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</si>
  <si>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</si>
  <si>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</si>
  <si>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</si>
  <si>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</si>
  <si>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</si>
  <si>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</si>
  <si>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</si>
  <si>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</si>
  <si>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</si>
  <si>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</si>
  <si>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</si>
  <si>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</si>
  <si>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</si>
  <si>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</si>
  <si>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</si>
  <si>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</si>
  <si>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</si>
  <si>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</si>
  <si>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</si>
  <si>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</si>
  <si>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</si>
  <si>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</si>
  <si>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</si>
  <si>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</si>
  <si>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</si>
  <si>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</si>
  <si>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</si>
  <si>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</si>
  <si>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</si>
  <si>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</si>
  <si>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</si>
  <si>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</si>
  <si>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</si>
  <si>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</si>
  <si>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</si>
  <si>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</si>
  <si>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</si>
  <si>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</si>
  <si>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</si>
  <si>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</si>
  <si>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</si>
  <si>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</si>
  <si>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</si>
  <si>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</si>
  <si>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</si>
  <si>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</si>
  <si>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</si>
  <si>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</si>
  <si>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</si>
  <si>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</si>
  <si>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</si>
  <si>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</si>
  <si>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</si>
  <si>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</si>
  <si>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</si>
  <si>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</si>
  <si>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</si>
  <si>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</si>
  <si>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</si>
  <si>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</si>
  <si>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</si>
  <si>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</si>
  <si>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</si>
  <si>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</si>
  <si>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</si>
  <si>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</si>
  <si>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</si>
  <si>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</si>
  <si>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</si>
  <si>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</si>
  <si>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</si>
  <si>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</si>
  <si>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</si>
  <si>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</si>
  <si>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</si>
  <si>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</si>
  <si>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</si>
  <si>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</si>
  <si>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</si>
  <si>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</si>
  <si>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</si>
  <si>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</si>
  <si>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</si>
  <si>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</si>
  <si>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</si>
  <si>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</si>
  <si>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</si>
  <si>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</si>
  <si>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</si>
  <si>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</si>
  <si>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</si>
  <si>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</si>
  <si>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</si>
  <si>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</si>
  <si>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</si>
  <si>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</si>
  <si>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</si>
  <si>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</si>
  <si>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</si>
  <si>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</si>
  <si>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</si>
  <si>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</si>
  <si>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</si>
  <si>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</si>
  <si>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</si>
  <si>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</si>
  <si>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</si>
  <si>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</si>
  <si>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</si>
  <si>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</si>
  <si>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</si>
  <si>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</si>
  <si>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</si>
  <si>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</si>
  <si>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</si>
  <si>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</si>
  <si>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</si>
  <si>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</si>
  <si>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</si>
  <si>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</si>
  <si>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</si>
  <si>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</si>
  <si>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</si>
  <si>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</si>
  <si>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</si>
  <si>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</si>
  <si>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</si>
  <si>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</si>
  <si>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</si>
  <si>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</si>
  <si>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</si>
  <si>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</si>
  <si>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</si>
  <si>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</si>
  <si>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</si>
  <si>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</si>
  <si>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</si>
  <si>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</si>
  <si>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</si>
  <si>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</si>
  <si>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</si>
  <si>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</si>
  <si>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</si>
  <si>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</si>
  <si>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</si>
  <si>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</si>
  <si>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</si>
  <si>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</si>
  <si>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</si>
  <si>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</si>
  <si>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</si>
  <si>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</si>
  <si>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</si>
  <si>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</si>
  <si>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</si>
  <si>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</si>
  <si>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</si>
  <si>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</si>
  <si>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</si>
  <si>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</si>
  <si>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</si>
  <si>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</si>
  <si>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</si>
  <si>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</si>
  <si>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</si>
  <si>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</si>
  <si>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</si>
  <si>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</si>
  <si>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</si>
  <si>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</si>
  <si>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</si>
  <si>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</si>
  <si>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</si>
  <si>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</si>
  <si>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</si>
  <si>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</si>
  <si>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</si>
  <si>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</si>
  <si>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</si>
  <si>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</si>
  <si>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</si>
  <si>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</si>
  <si>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</si>
  <si>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</si>
  <si>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</si>
  <si>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</si>
  <si>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</si>
  <si>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</si>
  <si>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</si>
  <si>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</si>
  <si>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</si>
  <si>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</si>
  <si>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</si>
  <si>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</si>
  <si>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</si>
  <si>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</si>
  <si>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</si>
  <si>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</si>
  <si>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</si>
  <si>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</si>
  <si>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</si>
  <si>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</si>
  <si>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</si>
  <si>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</si>
  <si>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</si>
  <si>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</si>
  <si>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</si>
  <si>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</si>
  <si>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</si>
  <si>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</si>
  <si>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</si>
  <si>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</si>
  <si>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</si>
  <si>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</si>
  <si>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</si>
  <si>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</si>
  <si>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</si>
  <si>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</si>
  <si>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</si>
  <si>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</si>
  <si>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</si>
  <si>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</si>
  <si>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</si>
  <si>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</si>
  <si>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</si>
  <si>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</si>
  <si>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</si>
  <si>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</si>
  <si>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</si>
  <si>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</si>
  <si>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</si>
  <si>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</si>
  <si>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</si>
  <si>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</si>
  <si>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</si>
  <si>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</si>
  <si>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</si>
  <si>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</si>
  <si>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</si>
  <si>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</si>
  <si>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</si>
  <si>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</si>
  <si>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</si>
  <si>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</si>
  <si>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</si>
  <si>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</si>
  <si>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</si>
  <si>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</si>
  <si>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</si>
  <si>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</si>
  <si>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</si>
  <si>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</si>
  <si>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</si>
  <si>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</si>
  <si>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</si>
  <si>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</si>
  <si>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</si>
  <si>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</si>
  <si>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</si>
  <si>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</si>
  <si>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</si>
  <si>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</si>
  <si>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</si>
  <si>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</si>
  <si>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</si>
  <si>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</si>
  <si>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</si>
  <si>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</si>
  <si>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</si>
  <si>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</si>
  <si>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</si>
  <si>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</si>
  <si>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</si>
  <si>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</si>
  <si>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</si>
  <si>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</si>
  <si>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</si>
  <si>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</si>
  <si>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</si>
  <si>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</si>
  <si>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</si>
  <si>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</si>
  <si>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</si>
  <si>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</si>
  <si>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</si>
  <si>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</si>
  <si>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</si>
  <si>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</si>
  <si>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</si>
  <si>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</si>
  <si>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</si>
  <si>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</si>
  <si>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</si>
  <si>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</si>
  <si>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</si>
  <si>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</si>
  <si>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</si>
  <si>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</si>
  <si>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</si>
  <si>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</si>
  <si>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</si>
  <si>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</si>
  <si>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</si>
  <si>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</si>
  <si>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</si>
  <si>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</si>
  <si>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</si>
  <si>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</si>
  <si>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</si>
  <si>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</si>
  <si>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</si>
  <si>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</si>
  <si>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</si>
  <si>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</si>
  <si>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</si>
  <si>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</si>
  <si>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</si>
  <si>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</si>
  <si>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</si>
  <si>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</si>
  <si>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</si>
  <si>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</si>
  <si>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</si>
  <si>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</si>
  <si>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</si>
  <si>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</si>
  <si>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</si>
  <si>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</si>
  <si>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</si>
  <si>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</si>
  <si>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</si>
  <si>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</si>
  <si>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</si>
  <si>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</si>
  <si>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</si>
  <si>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</si>
  <si>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</si>
  <si>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</si>
  <si>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</si>
  <si>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</si>
  <si>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</si>
  <si>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</si>
  <si>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</si>
  <si>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</si>
  <si>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</si>
  <si>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</si>
  <si>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</si>
  <si>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</si>
  <si>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</si>
  <si>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</si>
  <si>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</si>
  <si>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</si>
  <si>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</si>
  <si>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</si>
  <si>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</si>
  <si>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</si>
  <si>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</si>
  <si>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</si>
  <si>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</si>
  <si>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</si>
  <si>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</si>
  <si>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</si>
  <si>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</si>
  <si>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</si>
  <si>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</si>
  <si>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</si>
  <si>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</si>
  <si>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</si>
  <si>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</si>
  <si>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</si>
  <si>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</si>
  <si>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</si>
  <si>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</si>
  <si>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</si>
  <si>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</si>
  <si>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</si>
  <si>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</si>
  <si>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</si>
  <si>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</si>
  <si>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</si>
  <si>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</si>
  <si>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</si>
  <si>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</si>
  <si>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</si>
  <si>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</si>
  <si>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</si>
  <si>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</si>
  <si>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</si>
  <si>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</si>
  <si>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</si>
  <si>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</si>
  <si>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</si>
  <si>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</si>
  <si>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</si>
  <si>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</si>
  <si>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</si>
  <si>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</si>
  <si>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</si>
  <si>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</si>
  <si>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</si>
  <si>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</si>
  <si>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</si>
  <si>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</si>
  <si>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</si>
  <si>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</si>
  <si>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</si>
  <si>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</si>
  <si>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</si>
  <si>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</si>
  <si>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</si>
  <si>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</si>
  <si>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</si>
  <si>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</si>
  <si>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</si>
  <si>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33021</t>
  </si>
  <si>
    <t>POPERINGE</t>
  </si>
  <si>
    <t>Paarden&amp;pony's 200 - 600 kg</t>
  </si>
  <si>
    <t>Paarden&amp;pony's &lt; 200 kg</t>
  </si>
  <si>
    <t>Fluvius</t>
  </si>
  <si>
    <t>referentietaak LNE (2017); Jaarverslag De Lijn</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</si>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</sst>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191493.56111237174</c:v>
                </c:pt>
                <c:pt idx="1">
                  <c:v>50392.281694561272</c:v>
                </c:pt>
                <c:pt idx="2">
                  <c:v>1453.17</c:v>
                </c:pt>
                <c:pt idx="3">
                  <c:v>34849.600846793408</c:v>
                </c:pt>
                <c:pt idx="4">
                  <c:v>128445.40137983042</c:v>
                </c:pt>
                <c:pt idx="5">
                  <c:v>80361.397504220542</c:v>
                </c:pt>
                <c:pt idx="6">
                  <c:v>684.10114359603472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191493.56111237174</c:v>
                </c:pt>
                <c:pt idx="1">
                  <c:v>50392.281694561272</c:v>
                </c:pt>
                <c:pt idx="2">
                  <c:v>1453.17</c:v>
                </c:pt>
                <c:pt idx="3">
                  <c:v>34849.600846793408</c:v>
                </c:pt>
                <c:pt idx="4">
                  <c:v>128445.40137983042</c:v>
                </c:pt>
                <c:pt idx="5">
                  <c:v>80361.397504220542</c:v>
                </c:pt>
                <c:pt idx="6">
                  <c:v>684.10114359603472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35762.304354243846</c:v>
                </c:pt>
                <c:pt idx="2">
                  <c:v>9394.9812037053707</c:v>
                </c:pt>
                <c:pt idx="3">
                  <c:v>246.99651363120941</c:v>
                </c:pt>
                <c:pt idx="4">
                  <c:v>8494.800754528791</c:v>
                </c:pt>
                <c:pt idx="5">
                  <c:v>25106.910893070886</c:v>
                </c:pt>
                <c:pt idx="6">
                  <c:v>20154.042115803139</c:v>
                </c:pt>
                <c:pt idx="7">
                  <c:v>172.7794574429027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35762.304354243846</c:v>
                </c:pt>
                <c:pt idx="2">
                  <c:v>9394.9812037053707</c:v>
                </c:pt>
                <c:pt idx="3">
                  <c:v>246.99651363120941</c:v>
                </c:pt>
                <c:pt idx="4">
                  <c:v>8494.800754528791</c:v>
                </c:pt>
                <c:pt idx="5">
                  <c:v>25106.910893070886</c:v>
                </c:pt>
                <c:pt idx="6">
                  <c:v>20154.042115803139</c:v>
                </c:pt>
                <c:pt idx="7">
                  <c:v>172.7794574429027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33021</v>
      </c>
      <c r="B6" s="391"/>
      <c r="C6" s="392"/>
    </row>
    <row r="7" spans="1:7" s="389" customFormat="1" ht="15.75" customHeight="1">
      <c r="A7" s="393" t="str">
        <f>txtMunicipality</f>
        <v>POPERINGE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21833.116199999997</v>
      </c>
      <c r="D10" s="991">
        <f ca="1">tertiair!C16</f>
        <v>0</v>
      </c>
      <c r="E10" s="991">
        <f ca="1">tertiair!D16</f>
        <v>24896.407732111897</v>
      </c>
      <c r="F10" s="991">
        <f>tertiair!E16</f>
        <v>266.83390226943681</v>
      </c>
      <c r="G10" s="991">
        <f ca="1">tertiair!F16</f>
        <v>3151.0829159891027</v>
      </c>
      <c r="H10" s="991">
        <f>tertiair!G16</f>
        <v>0</v>
      </c>
      <c r="I10" s="991">
        <f>tertiair!H16</f>
        <v>0</v>
      </c>
      <c r="J10" s="991">
        <f>tertiair!I16</f>
        <v>0</v>
      </c>
      <c r="K10" s="991">
        <f>tertiair!J16</f>
        <v>0</v>
      </c>
      <c r="L10" s="991">
        <f>tertiair!K16</f>
        <v>0</v>
      </c>
      <c r="M10" s="991">
        <f ca="1">tertiair!L16</f>
        <v>0</v>
      </c>
      <c r="N10" s="991">
        <f>tertiair!M16</f>
        <v>0</v>
      </c>
      <c r="O10" s="991">
        <f ca="1">tertiair!N16</f>
        <v>1636.1209441908397</v>
      </c>
      <c r="P10" s="991">
        <f>tertiair!O16</f>
        <v>4.6900000000000004</v>
      </c>
      <c r="Q10" s="992">
        <f>tertiair!P16</f>
        <v>57.2</v>
      </c>
      <c r="R10" s="675">
        <f ca="1">SUM(C10:Q10)</f>
        <v>51845.45169456127</v>
      </c>
      <c r="S10" s="67"/>
    </row>
    <row r="11" spans="1:19" s="448" customFormat="1">
      <c r="A11" s="784" t="s">
        <v>224</v>
      </c>
      <c r="B11" s="789"/>
      <c r="C11" s="991">
        <f>huishoudens!B8</f>
        <v>32434.553405816394</v>
      </c>
      <c r="D11" s="991">
        <f>huishoudens!C8</f>
        <v>0</v>
      </c>
      <c r="E11" s="991">
        <f>huishoudens!D8</f>
        <v>63223.938414527547</v>
      </c>
      <c r="F11" s="991">
        <f>huishoudens!E8</f>
        <v>40074.970720199053</v>
      </c>
      <c r="G11" s="991">
        <f>huishoudens!F8</f>
        <v>17151.282197657627</v>
      </c>
      <c r="H11" s="991">
        <f>huishoudens!G8</f>
        <v>0</v>
      </c>
      <c r="I11" s="991">
        <f>huishoudens!H8</f>
        <v>0</v>
      </c>
      <c r="J11" s="991">
        <f>huishoudens!I8</f>
        <v>0</v>
      </c>
      <c r="K11" s="991">
        <f>huishoudens!J8</f>
        <v>10739.35048912286</v>
      </c>
      <c r="L11" s="991">
        <f>huishoudens!K8</f>
        <v>0</v>
      </c>
      <c r="M11" s="991">
        <f>huishoudens!L8</f>
        <v>0</v>
      </c>
      <c r="N11" s="991">
        <f>huishoudens!M8</f>
        <v>0</v>
      </c>
      <c r="O11" s="991">
        <f>huishoudens!N8</f>
        <v>26949.455885048261</v>
      </c>
      <c r="P11" s="991">
        <f>huishoudens!O8</f>
        <v>386.14333333333337</v>
      </c>
      <c r="Q11" s="992">
        <f>huishoudens!P8</f>
        <v>533.86666666666667</v>
      </c>
      <c r="R11" s="675">
        <f>SUM(C11:Q11)</f>
        <v>191493.56111237174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46250.933199999999</v>
      </c>
      <c r="D13" s="991">
        <f>industrie!C18</f>
        <v>1607.1428571428571</v>
      </c>
      <c r="E13" s="991">
        <f>industrie!D18</f>
        <v>64152.917937683531</v>
      </c>
      <c r="F13" s="991">
        <f>industrie!E18</f>
        <v>2933.9735275362918</v>
      </c>
      <c r="G13" s="991">
        <f>industrie!F18</f>
        <v>13315.559697348719</v>
      </c>
      <c r="H13" s="991">
        <f>industrie!G18</f>
        <v>0</v>
      </c>
      <c r="I13" s="991">
        <f>industrie!H18</f>
        <v>0</v>
      </c>
      <c r="J13" s="991">
        <f>industrie!I18</f>
        <v>0</v>
      </c>
      <c r="K13" s="991">
        <f>industrie!J18</f>
        <v>184.87416011902135</v>
      </c>
      <c r="L13" s="991">
        <f>industrie!K18</f>
        <v>0</v>
      </c>
      <c r="M13" s="991">
        <f>industrie!L18</f>
        <v>0</v>
      </c>
      <c r="N13" s="991">
        <f>industrie!M18</f>
        <v>0</v>
      </c>
      <c r="O13" s="991">
        <f>industrie!N18</f>
        <v>0</v>
      </c>
      <c r="P13" s="991">
        <f>industrie!O18</f>
        <v>0</v>
      </c>
      <c r="Q13" s="992">
        <f>industrie!P18</f>
        <v>0</v>
      </c>
      <c r="R13" s="675">
        <f>SUM(C13:Q13)</f>
        <v>128445.40137983042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100518.60280581639</v>
      </c>
      <c r="D16" s="707">
        <f t="shared" ref="D16:R16" ca="1" si="0">SUM(D9:D15)</f>
        <v>1607.1428571428571</v>
      </c>
      <c r="E16" s="707">
        <f t="shared" ca="1" si="0"/>
        <v>152273.26408432296</v>
      </c>
      <c r="F16" s="707">
        <f t="shared" si="0"/>
        <v>43275.778150004779</v>
      </c>
      <c r="G16" s="707">
        <f t="shared" ca="1" si="0"/>
        <v>33617.92481099545</v>
      </c>
      <c r="H16" s="707">
        <f t="shared" si="0"/>
        <v>0</v>
      </c>
      <c r="I16" s="707">
        <f t="shared" si="0"/>
        <v>0</v>
      </c>
      <c r="J16" s="707">
        <f t="shared" si="0"/>
        <v>0</v>
      </c>
      <c r="K16" s="707">
        <f t="shared" si="0"/>
        <v>10924.224649241882</v>
      </c>
      <c r="L16" s="707">
        <f t="shared" si="0"/>
        <v>0</v>
      </c>
      <c r="M16" s="707">
        <f t="shared" ca="1" si="0"/>
        <v>0</v>
      </c>
      <c r="N16" s="707">
        <f t="shared" si="0"/>
        <v>0</v>
      </c>
      <c r="O16" s="707">
        <f t="shared" ca="1" si="0"/>
        <v>28585.5768292391</v>
      </c>
      <c r="P16" s="707">
        <f t="shared" si="0"/>
        <v>390.83333333333337</v>
      </c>
      <c r="Q16" s="707">
        <f t="shared" si="0"/>
        <v>591.06666666666672</v>
      </c>
      <c r="R16" s="707">
        <f t="shared" ca="1" si="0"/>
        <v>371784.41418676346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647.11407281986021</v>
      </c>
      <c r="I19" s="991">
        <f>transport!H54</f>
        <v>0</v>
      </c>
      <c r="J19" s="991">
        <f>transport!I54</f>
        <v>0</v>
      </c>
      <c r="K19" s="991">
        <f>transport!J54</f>
        <v>0</v>
      </c>
      <c r="L19" s="991">
        <f>transport!K54</f>
        <v>0</v>
      </c>
      <c r="M19" s="991">
        <f>transport!L54</f>
        <v>0</v>
      </c>
      <c r="N19" s="991">
        <f>transport!M54</f>
        <v>36.987070776174477</v>
      </c>
      <c r="O19" s="991">
        <f>transport!N54</f>
        <v>0</v>
      </c>
      <c r="P19" s="991">
        <f>transport!O54</f>
        <v>0</v>
      </c>
      <c r="Q19" s="992">
        <f>transport!P54</f>
        <v>0</v>
      </c>
      <c r="R19" s="675">
        <f>SUM(C19:Q19)</f>
        <v>684.10114359603472</v>
      </c>
      <c r="S19" s="67"/>
    </row>
    <row r="20" spans="1:19" s="448" customFormat="1">
      <c r="A20" s="784" t="s">
        <v>306</v>
      </c>
      <c r="B20" s="789"/>
      <c r="C20" s="991">
        <f>transport!B14</f>
        <v>8.6081557749171118</v>
      </c>
      <c r="D20" s="991">
        <f>transport!C14</f>
        <v>0</v>
      </c>
      <c r="E20" s="991">
        <f>transport!D14</f>
        <v>18.057365442952065</v>
      </c>
      <c r="F20" s="991">
        <f>transport!E14</f>
        <v>171.10226665824953</v>
      </c>
      <c r="G20" s="991">
        <f>transport!F14</f>
        <v>0</v>
      </c>
      <c r="H20" s="991">
        <f>transport!G14</f>
        <v>65149.107488039015</v>
      </c>
      <c r="I20" s="991">
        <f>transport!H14</f>
        <v>10904.736862444121</v>
      </c>
      <c r="J20" s="991">
        <f>transport!I14</f>
        <v>0</v>
      </c>
      <c r="K20" s="991">
        <f>transport!J14</f>
        <v>0</v>
      </c>
      <c r="L20" s="991">
        <f>transport!K14</f>
        <v>0</v>
      </c>
      <c r="M20" s="991">
        <f>transport!L14</f>
        <v>0</v>
      </c>
      <c r="N20" s="991">
        <f>transport!M14</f>
        <v>4109.7853658612885</v>
      </c>
      <c r="O20" s="991">
        <f>transport!N14</f>
        <v>0</v>
      </c>
      <c r="P20" s="991">
        <f>transport!O14</f>
        <v>0</v>
      </c>
      <c r="Q20" s="992">
        <f>transport!P14</f>
        <v>0</v>
      </c>
      <c r="R20" s="675">
        <f>SUM(C20:Q20)</f>
        <v>80361.397504220542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8.6081557749171118</v>
      </c>
      <c r="D22" s="787">
        <f t="shared" ref="D22:R22" si="1">SUM(D18:D21)</f>
        <v>0</v>
      </c>
      <c r="E22" s="787">
        <f t="shared" si="1"/>
        <v>18.057365442952065</v>
      </c>
      <c r="F22" s="787">
        <f t="shared" si="1"/>
        <v>171.10226665824953</v>
      </c>
      <c r="G22" s="787">
        <f t="shared" si="1"/>
        <v>0</v>
      </c>
      <c r="H22" s="787">
        <f t="shared" si="1"/>
        <v>65796.221560858874</v>
      </c>
      <c r="I22" s="787">
        <f t="shared" si="1"/>
        <v>10904.736862444121</v>
      </c>
      <c r="J22" s="787">
        <f t="shared" si="1"/>
        <v>0</v>
      </c>
      <c r="K22" s="787">
        <f t="shared" si="1"/>
        <v>0</v>
      </c>
      <c r="L22" s="787">
        <f t="shared" si="1"/>
        <v>0</v>
      </c>
      <c r="M22" s="787">
        <f t="shared" si="1"/>
        <v>0</v>
      </c>
      <c r="N22" s="787">
        <f t="shared" si="1"/>
        <v>4146.7724366374632</v>
      </c>
      <c r="O22" s="787">
        <f t="shared" si="1"/>
        <v>0</v>
      </c>
      <c r="P22" s="787">
        <f t="shared" si="1"/>
        <v>0</v>
      </c>
      <c r="Q22" s="787">
        <f t="shared" si="1"/>
        <v>0</v>
      </c>
      <c r="R22" s="787">
        <f t="shared" si="1"/>
        <v>81045.498647816581</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9302.8564999999999</v>
      </c>
      <c r="D24" s="991">
        <f>+landbouw!C8</f>
        <v>0</v>
      </c>
      <c r="E24" s="991">
        <f>+landbouw!D8</f>
        <v>431.22653901980215</v>
      </c>
      <c r="F24" s="991">
        <f>+landbouw!E8</f>
        <v>86.166953297466264</v>
      </c>
      <c r="G24" s="991">
        <f>+landbouw!F8</f>
        <v>23603.119132844593</v>
      </c>
      <c r="H24" s="991">
        <f>+landbouw!G8</f>
        <v>0</v>
      </c>
      <c r="I24" s="991">
        <f>+landbouw!H8</f>
        <v>0</v>
      </c>
      <c r="J24" s="991">
        <f>+landbouw!I8</f>
        <v>0</v>
      </c>
      <c r="K24" s="991">
        <f>+landbouw!J8</f>
        <v>1426.2317216315489</v>
      </c>
      <c r="L24" s="991">
        <f>+landbouw!K8</f>
        <v>0</v>
      </c>
      <c r="M24" s="991">
        <f>+landbouw!L8</f>
        <v>0</v>
      </c>
      <c r="N24" s="991">
        <f>+landbouw!M8</f>
        <v>0</v>
      </c>
      <c r="O24" s="991">
        <f>+landbouw!N8</f>
        <v>0</v>
      </c>
      <c r="P24" s="991">
        <f>+landbouw!O8</f>
        <v>0</v>
      </c>
      <c r="Q24" s="992">
        <f>+landbouw!P8</f>
        <v>0</v>
      </c>
      <c r="R24" s="675">
        <f>SUM(C24:Q24)</f>
        <v>34849.600846793408</v>
      </c>
      <c r="S24" s="67"/>
    </row>
    <row r="25" spans="1:19" s="448" customFormat="1" ht="15" thickBot="1">
      <c r="A25" s="806" t="s">
        <v>849</v>
      </c>
      <c r="B25" s="994"/>
      <c r="C25" s="995">
        <f>IF(Onbekend_ele_kWh="---",0,Onbekend_ele_kWh)/1000+IF(REST_rest_ele_kWh="---",0,REST_rest_ele_kWh)/1000</f>
        <v>1105.0150000000001</v>
      </c>
      <c r="D25" s="995"/>
      <c r="E25" s="995">
        <f>IF(onbekend_gas_kWh="---",0,onbekend_gas_kWh)/1000+IF(REST_rest_gas_kWh="---",0,REST_rest_gas_kWh)/1000</f>
        <v>2359.6248275121998</v>
      </c>
      <c r="F25" s="995"/>
      <c r="G25" s="995"/>
      <c r="H25" s="995"/>
      <c r="I25" s="995"/>
      <c r="J25" s="995"/>
      <c r="K25" s="995"/>
      <c r="L25" s="995"/>
      <c r="M25" s="995"/>
      <c r="N25" s="995"/>
      <c r="O25" s="995"/>
      <c r="P25" s="995"/>
      <c r="Q25" s="996"/>
      <c r="R25" s="675">
        <f>SUM(C25:Q25)</f>
        <v>3464.6398275122001</v>
      </c>
      <c r="S25" s="67"/>
    </row>
    <row r="26" spans="1:19" s="448" customFormat="1" ht="15.75" thickBot="1">
      <c r="A26" s="680" t="s">
        <v>850</v>
      </c>
      <c r="B26" s="792"/>
      <c r="C26" s="787">
        <f>SUM(C24:C25)</f>
        <v>10407.871499999999</v>
      </c>
      <c r="D26" s="787">
        <f t="shared" ref="D26:R26" si="2">SUM(D24:D25)</f>
        <v>0</v>
      </c>
      <c r="E26" s="787">
        <f t="shared" si="2"/>
        <v>2790.851366532002</v>
      </c>
      <c r="F26" s="787">
        <f t="shared" si="2"/>
        <v>86.166953297466264</v>
      </c>
      <c r="G26" s="787">
        <f t="shared" si="2"/>
        <v>23603.119132844593</v>
      </c>
      <c r="H26" s="787">
        <f t="shared" si="2"/>
        <v>0</v>
      </c>
      <c r="I26" s="787">
        <f t="shared" si="2"/>
        <v>0</v>
      </c>
      <c r="J26" s="787">
        <f t="shared" si="2"/>
        <v>0</v>
      </c>
      <c r="K26" s="787">
        <f t="shared" si="2"/>
        <v>1426.2317216315489</v>
      </c>
      <c r="L26" s="787">
        <f t="shared" si="2"/>
        <v>0</v>
      </c>
      <c r="M26" s="787">
        <f t="shared" si="2"/>
        <v>0</v>
      </c>
      <c r="N26" s="787">
        <f t="shared" si="2"/>
        <v>0</v>
      </c>
      <c r="O26" s="787">
        <f t="shared" si="2"/>
        <v>0</v>
      </c>
      <c r="P26" s="787">
        <f t="shared" si="2"/>
        <v>0</v>
      </c>
      <c r="Q26" s="787">
        <f t="shared" si="2"/>
        <v>0</v>
      </c>
      <c r="R26" s="787">
        <f t="shared" si="2"/>
        <v>38314.240674305605</v>
      </c>
      <c r="S26" s="67"/>
    </row>
    <row r="27" spans="1:19" s="448" customFormat="1" ht="17.25" thickTop="1" thickBot="1">
      <c r="A27" s="681" t="s">
        <v>115</v>
      </c>
      <c r="B27" s="780"/>
      <c r="C27" s="682">
        <f ca="1">C22+C16+C26</f>
        <v>110935.0824615913</v>
      </c>
      <c r="D27" s="682">
        <f t="shared" ref="D27:R27" ca="1" si="3">D22+D16+D26</f>
        <v>1607.1428571428571</v>
      </c>
      <c r="E27" s="682">
        <f t="shared" ca="1" si="3"/>
        <v>155082.17281629791</v>
      </c>
      <c r="F27" s="682">
        <f t="shared" si="3"/>
        <v>43533.047369960492</v>
      </c>
      <c r="G27" s="682">
        <f t="shared" ca="1" si="3"/>
        <v>57221.043943840043</v>
      </c>
      <c r="H27" s="682">
        <f t="shared" si="3"/>
        <v>65796.221560858874</v>
      </c>
      <c r="I27" s="682">
        <f t="shared" si="3"/>
        <v>10904.736862444121</v>
      </c>
      <c r="J27" s="682">
        <f t="shared" si="3"/>
        <v>0</v>
      </c>
      <c r="K27" s="682">
        <f t="shared" si="3"/>
        <v>12350.456370873431</v>
      </c>
      <c r="L27" s="682">
        <f t="shared" si="3"/>
        <v>0</v>
      </c>
      <c r="M27" s="682">
        <f t="shared" ca="1" si="3"/>
        <v>0</v>
      </c>
      <c r="N27" s="682">
        <f t="shared" si="3"/>
        <v>4146.7724366374632</v>
      </c>
      <c r="O27" s="682">
        <f t="shared" ca="1" si="3"/>
        <v>28585.5768292391</v>
      </c>
      <c r="P27" s="682">
        <f t="shared" si="3"/>
        <v>390.83333333333337</v>
      </c>
      <c r="Q27" s="682">
        <f t="shared" si="3"/>
        <v>591.06666666666672</v>
      </c>
      <c r="R27" s="682">
        <f t="shared" ca="1" si="3"/>
        <v>491144.15350888565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3710.9929210657242</v>
      </c>
      <c r="D40" s="991">
        <f ca="1">tertiair!C20</f>
        <v>0</v>
      </c>
      <c r="E40" s="991">
        <f ca="1">tertiair!D20</f>
        <v>5029.0743618866036</v>
      </c>
      <c r="F40" s="991">
        <f>tertiair!E20</f>
        <v>60.571295815162159</v>
      </c>
      <c r="G40" s="991">
        <f ca="1">tertiair!F20</f>
        <v>841.33913856909044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9641.9777173365801</v>
      </c>
    </row>
    <row r="41" spans="1:18">
      <c r="A41" s="797" t="s">
        <v>224</v>
      </c>
      <c r="B41" s="804"/>
      <c r="C41" s="991">
        <f ca="1">huishoudens!B12</f>
        <v>5512.9280211000214</v>
      </c>
      <c r="D41" s="991">
        <f ca="1">huishoudens!C12</f>
        <v>0</v>
      </c>
      <c r="E41" s="991">
        <f>huishoudens!D12</f>
        <v>12771.235559734565</v>
      </c>
      <c r="F41" s="991">
        <f>huishoudens!E12</f>
        <v>9097.0183534851858</v>
      </c>
      <c r="G41" s="991">
        <f>huishoudens!F12</f>
        <v>4579.3923467745863</v>
      </c>
      <c r="H41" s="991">
        <f>huishoudens!G12</f>
        <v>0</v>
      </c>
      <c r="I41" s="991">
        <f>huishoudens!H12</f>
        <v>0</v>
      </c>
      <c r="J41" s="991">
        <f>huishoudens!I12</f>
        <v>0</v>
      </c>
      <c r="K41" s="991">
        <f>huishoudens!J12</f>
        <v>3801.7300731494925</v>
      </c>
      <c r="L41" s="991">
        <f>huishoudens!K12</f>
        <v>0</v>
      </c>
      <c r="M41" s="991">
        <f>huishoudens!L12</f>
        <v>0</v>
      </c>
      <c r="N41" s="991">
        <f>huishoudens!M12</f>
        <v>0</v>
      </c>
      <c r="O41" s="991">
        <f>huishoudens!N12</f>
        <v>0</v>
      </c>
      <c r="P41" s="991">
        <f>huishoudens!O12</f>
        <v>0</v>
      </c>
      <c r="Q41" s="749">
        <f>huishoudens!P12</f>
        <v>0</v>
      </c>
      <c r="R41" s="825">
        <f t="shared" ca="1" si="4"/>
        <v>35762.304354243846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7861.3095870338339</v>
      </c>
      <c r="D43" s="991">
        <f ca="1">industrie!C22</f>
        <v>0</v>
      </c>
      <c r="E43" s="991">
        <f>industrie!D22</f>
        <v>12958.889423412074</v>
      </c>
      <c r="F43" s="991">
        <f>industrie!E22</f>
        <v>666.01199075073828</v>
      </c>
      <c r="G43" s="991">
        <f>industrie!F22</f>
        <v>3555.2544391921083</v>
      </c>
      <c r="H43" s="991">
        <f>industrie!G22</f>
        <v>0</v>
      </c>
      <c r="I43" s="991">
        <f>industrie!H22</f>
        <v>0</v>
      </c>
      <c r="J43" s="991">
        <f>industrie!I22</f>
        <v>0</v>
      </c>
      <c r="K43" s="991">
        <f>industrie!J22</f>
        <v>65.445452682133549</v>
      </c>
      <c r="L43" s="991">
        <f>industrie!K22</f>
        <v>0</v>
      </c>
      <c r="M43" s="991">
        <f>industrie!L22</f>
        <v>0</v>
      </c>
      <c r="N43" s="991">
        <f>industrie!M22</f>
        <v>0</v>
      </c>
      <c r="O43" s="991">
        <f>industrie!N22</f>
        <v>0</v>
      </c>
      <c r="P43" s="991">
        <f>industrie!O22</f>
        <v>0</v>
      </c>
      <c r="Q43" s="749">
        <f>industrie!P22</f>
        <v>0</v>
      </c>
      <c r="R43" s="824">
        <f t="shared" ca="1" si="4"/>
        <v>25106.910893070886</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17085.23052919958</v>
      </c>
      <c r="D46" s="707">
        <f t="shared" ref="D46:Q46" ca="1" si="5">SUM(D39:D45)</f>
        <v>0</v>
      </c>
      <c r="E46" s="707">
        <f t="shared" ca="1" si="5"/>
        <v>30759.199345033245</v>
      </c>
      <c r="F46" s="707">
        <f t="shared" si="5"/>
        <v>9823.6016400510853</v>
      </c>
      <c r="G46" s="707">
        <f t="shared" ca="1" si="5"/>
        <v>8975.9859245357839</v>
      </c>
      <c r="H46" s="707">
        <f t="shared" si="5"/>
        <v>0</v>
      </c>
      <c r="I46" s="707">
        <f t="shared" si="5"/>
        <v>0</v>
      </c>
      <c r="J46" s="707">
        <f t="shared" si="5"/>
        <v>0</v>
      </c>
      <c r="K46" s="707">
        <f t="shared" si="5"/>
        <v>3867.1755258316261</v>
      </c>
      <c r="L46" s="707">
        <f t="shared" si="5"/>
        <v>0</v>
      </c>
      <c r="M46" s="707">
        <f t="shared" ca="1" si="5"/>
        <v>0</v>
      </c>
      <c r="N46" s="707">
        <f t="shared" si="5"/>
        <v>0</v>
      </c>
      <c r="O46" s="707">
        <f t="shared" ca="1" si="5"/>
        <v>0</v>
      </c>
      <c r="P46" s="707">
        <f t="shared" si="5"/>
        <v>0</v>
      </c>
      <c r="Q46" s="707">
        <f t="shared" si="5"/>
        <v>0</v>
      </c>
      <c r="R46" s="707">
        <f ca="1">SUM(R39:R45)</f>
        <v>70511.192964651316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172.7794574429027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172.7794574429027</v>
      </c>
    </row>
    <row r="50" spans="1:18">
      <c r="A50" s="800" t="s">
        <v>306</v>
      </c>
      <c r="B50" s="810"/>
      <c r="C50" s="678">
        <f ca="1">transport!B18</f>
        <v>1.4631353972342453</v>
      </c>
      <c r="D50" s="678">
        <f>transport!C18</f>
        <v>0</v>
      </c>
      <c r="E50" s="678">
        <f>transport!D18</f>
        <v>3.6475878194763176</v>
      </c>
      <c r="F50" s="678">
        <f>transport!E18</f>
        <v>38.840214531422646</v>
      </c>
      <c r="G50" s="678">
        <f>transport!F18</f>
        <v>0</v>
      </c>
      <c r="H50" s="678">
        <f>transport!G18</f>
        <v>17394.811699306418</v>
      </c>
      <c r="I50" s="678">
        <f>transport!H18</f>
        <v>2715.2794787485859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20154.042115803139</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1.4631353972342453</v>
      </c>
      <c r="D52" s="707">
        <f t="shared" ref="D52:Q52" ca="1" si="6">SUM(D48:D51)</f>
        <v>0</v>
      </c>
      <c r="E52" s="707">
        <f t="shared" si="6"/>
        <v>3.6475878194763176</v>
      </c>
      <c r="F52" s="707">
        <f t="shared" si="6"/>
        <v>38.840214531422646</v>
      </c>
      <c r="G52" s="707">
        <f t="shared" si="6"/>
        <v>0</v>
      </c>
      <c r="H52" s="707">
        <f t="shared" si="6"/>
        <v>17567.59115674932</v>
      </c>
      <c r="I52" s="707">
        <f t="shared" si="6"/>
        <v>2715.2794787485859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20326.821573246041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1581.2142573211909</v>
      </c>
      <c r="D54" s="678">
        <f ca="1">+landbouw!C12</f>
        <v>0</v>
      </c>
      <c r="E54" s="678">
        <f>+landbouw!D12</f>
        <v>87.107760882000036</v>
      </c>
      <c r="F54" s="678">
        <f>+landbouw!E12</f>
        <v>19.559898398524844</v>
      </c>
      <c r="G54" s="678">
        <f>+landbouw!F12</f>
        <v>6302.0328084695066</v>
      </c>
      <c r="H54" s="678">
        <f>+landbouw!G12</f>
        <v>0</v>
      </c>
      <c r="I54" s="678">
        <f>+landbouw!H12</f>
        <v>0</v>
      </c>
      <c r="J54" s="678">
        <f>+landbouw!I12</f>
        <v>0</v>
      </c>
      <c r="K54" s="678">
        <f>+landbouw!J12</f>
        <v>504.88602945756827</v>
      </c>
      <c r="L54" s="678">
        <f>+landbouw!K12</f>
        <v>0</v>
      </c>
      <c r="M54" s="678">
        <f>+landbouw!L12</f>
        <v>0</v>
      </c>
      <c r="N54" s="678">
        <f>+landbouw!M12</f>
        <v>0</v>
      </c>
      <c r="O54" s="678">
        <f>+landbouw!N12</f>
        <v>0</v>
      </c>
      <c r="P54" s="678">
        <f>+landbouw!O12</f>
        <v>0</v>
      </c>
      <c r="Q54" s="679">
        <f>+landbouw!P12</f>
        <v>0</v>
      </c>
      <c r="R54" s="706">
        <f ca="1">SUM(C54:Q54)</f>
        <v>8494.800754528791</v>
      </c>
    </row>
    <row r="55" spans="1:18" ht="15" thickBot="1">
      <c r="A55" s="800" t="s">
        <v>849</v>
      </c>
      <c r="B55" s="810"/>
      <c r="C55" s="678">
        <f ca="1">C25*'EF ele_warmte'!B12</f>
        <v>187.8203186896171</v>
      </c>
      <c r="D55" s="678"/>
      <c r="E55" s="678">
        <f>E25*EF_CO2_aardgas</f>
        <v>476.64421515746437</v>
      </c>
      <c r="F55" s="678"/>
      <c r="G55" s="678"/>
      <c r="H55" s="678"/>
      <c r="I55" s="678"/>
      <c r="J55" s="678"/>
      <c r="K55" s="678"/>
      <c r="L55" s="678"/>
      <c r="M55" s="678"/>
      <c r="N55" s="678"/>
      <c r="O55" s="678"/>
      <c r="P55" s="678"/>
      <c r="Q55" s="679"/>
      <c r="R55" s="706">
        <f ca="1">SUM(C55:Q55)</f>
        <v>664.4645338470815</v>
      </c>
    </row>
    <row r="56" spans="1:18" ht="15.75" thickBot="1">
      <c r="A56" s="798" t="s">
        <v>850</v>
      </c>
      <c r="B56" s="811"/>
      <c r="C56" s="707">
        <f ca="1">SUM(C54:C55)</f>
        <v>1769.034576010808</v>
      </c>
      <c r="D56" s="707">
        <f t="shared" ref="D56:Q56" ca="1" si="7">SUM(D54:D55)</f>
        <v>0</v>
      </c>
      <c r="E56" s="707">
        <f t="shared" si="7"/>
        <v>563.75197603946435</v>
      </c>
      <c r="F56" s="707">
        <f t="shared" si="7"/>
        <v>19.559898398524844</v>
      </c>
      <c r="G56" s="707">
        <f t="shared" si="7"/>
        <v>6302.0328084695066</v>
      </c>
      <c r="H56" s="707">
        <f t="shared" si="7"/>
        <v>0</v>
      </c>
      <c r="I56" s="707">
        <f t="shared" si="7"/>
        <v>0</v>
      </c>
      <c r="J56" s="707">
        <f t="shared" si="7"/>
        <v>0</v>
      </c>
      <c r="K56" s="707">
        <f t="shared" si="7"/>
        <v>504.88602945756827</v>
      </c>
      <c r="L56" s="707">
        <f t="shared" si="7"/>
        <v>0</v>
      </c>
      <c r="M56" s="707">
        <f t="shared" si="7"/>
        <v>0</v>
      </c>
      <c r="N56" s="707">
        <f t="shared" si="7"/>
        <v>0</v>
      </c>
      <c r="O56" s="707">
        <f t="shared" si="7"/>
        <v>0</v>
      </c>
      <c r="P56" s="707">
        <f t="shared" si="7"/>
        <v>0</v>
      </c>
      <c r="Q56" s="708">
        <f t="shared" si="7"/>
        <v>0</v>
      </c>
      <c r="R56" s="709">
        <f ca="1">SUM(R54:R55)</f>
        <v>9159.2652883758728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18855.728240607619</v>
      </c>
      <c r="D61" s="715">
        <f t="shared" ref="D61:Q61" ca="1" si="8">D46+D52+D56</f>
        <v>0</v>
      </c>
      <c r="E61" s="715">
        <f t="shared" ca="1" si="8"/>
        <v>31326.598908892185</v>
      </c>
      <c r="F61" s="715">
        <f t="shared" si="8"/>
        <v>9882.0017529810339</v>
      </c>
      <c r="G61" s="715">
        <f t="shared" ca="1" si="8"/>
        <v>15278.01873300529</v>
      </c>
      <c r="H61" s="715">
        <f t="shared" si="8"/>
        <v>17567.59115674932</v>
      </c>
      <c r="I61" s="715">
        <f t="shared" si="8"/>
        <v>2715.2794787485859</v>
      </c>
      <c r="J61" s="715">
        <f t="shared" si="8"/>
        <v>0</v>
      </c>
      <c r="K61" s="715">
        <f t="shared" si="8"/>
        <v>4372.0615552891941</v>
      </c>
      <c r="L61" s="715">
        <f t="shared" si="8"/>
        <v>0</v>
      </c>
      <c r="M61" s="715">
        <f t="shared" ca="1" si="8"/>
        <v>0</v>
      </c>
      <c r="N61" s="715">
        <f t="shared" si="8"/>
        <v>0</v>
      </c>
      <c r="O61" s="715">
        <f t="shared" ca="1" si="8"/>
        <v>0</v>
      </c>
      <c r="P61" s="715">
        <f t="shared" si="8"/>
        <v>0</v>
      </c>
      <c r="Q61" s="715">
        <f t="shared" si="8"/>
        <v>0</v>
      </c>
      <c r="R61" s="715">
        <f ca="1">R46+R52+R56</f>
        <v>99997.279826273225</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0.1699708317892672</v>
      </c>
      <c r="D63" s="756">
        <f t="shared" ca="1" si="9"/>
        <v>0</v>
      </c>
      <c r="E63" s="1002">
        <f t="shared" ca="1" si="9"/>
        <v>0.20200000000000004</v>
      </c>
      <c r="F63" s="756">
        <f t="shared" si="9"/>
        <v>0.22700000000000006</v>
      </c>
      <c r="G63" s="756">
        <f t="shared" ca="1" si="9"/>
        <v>0.26699999999999996</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14365.913149339714</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10124.132024434301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1125</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1323.5294117647061</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25615.045173774015</v>
      </c>
      <c r="C78" s="730">
        <f>SUM(C72:C77)</f>
        <v>0</v>
      </c>
      <c r="D78" s="731">
        <f t="shared" ref="D78:H78" si="10">SUM(D76:D77)</f>
        <v>0</v>
      </c>
      <c r="E78" s="731">
        <f t="shared" si="10"/>
        <v>0</v>
      </c>
      <c r="F78" s="731">
        <f t="shared" si="10"/>
        <v>0</v>
      </c>
      <c r="G78" s="731">
        <f t="shared" si="10"/>
        <v>0</v>
      </c>
      <c r="H78" s="731">
        <f t="shared" si="10"/>
        <v>0</v>
      </c>
      <c r="I78" s="731">
        <f>SUM(I76:I77)</f>
        <v>0</v>
      </c>
      <c r="J78" s="731">
        <f>SUM(J76:J77)</f>
        <v>1323.5294117647061</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1607.1428571428571</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1890.7563025210086</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1607.1428571428571</v>
      </c>
      <c r="C90" s="730">
        <f>SUM(C87:C89)</f>
        <v>0</v>
      </c>
      <c r="D90" s="730">
        <f t="shared" ref="D90:H90" si="12">SUM(D87:D89)</f>
        <v>0</v>
      </c>
      <c r="E90" s="730">
        <f t="shared" si="12"/>
        <v>0</v>
      </c>
      <c r="F90" s="730">
        <f t="shared" si="12"/>
        <v>0</v>
      </c>
      <c r="G90" s="730">
        <f t="shared" si="12"/>
        <v>0</v>
      </c>
      <c r="H90" s="730">
        <f t="shared" si="12"/>
        <v>0</v>
      </c>
      <c r="I90" s="730">
        <f>SUM(I87:I89)</f>
        <v>0</v>
      </c>
      <c r="J90" s="730">
        <f>SUM(J87:J89)</f>
        <v>1890.7563025210086</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32434.553405816394</v>
      </c>
      <c r="C4" s="452">
        <f>huishoudens!C8</f>
        <v>0</v>
      </c>
      <c r="D4" s="452">
        <f>huishoudens!D8</f>
        <v>63223.938414527547</v>
      </c>
      <c r="E4" s="452">
        <f>huishoudens!E8</f>
        <v>40074.970720199053</v>
      </c>
      <c r="F4" s="452">
        <f>huishoudens!F8</f>
        <v>17151.282197657627</v>
      </c>
      <c r="G4" s="452">
        <f>huishoudens!G8</f>
        <v>0</v>
      </c>
      <c r="H4" s="452">
        <f>huishoudens!H8</f>
        <v>0</v>
      </c>
      <c r="I4" s="452">
        <f>huishoudens!I8</f>
        <v>0</v>
      </c>
      <c r="J4" s="452">
        <f>huishoudens!J8</f>
        <v>10739.35048912286</v>
      </c>
      <c r="K4" s="452">
        <f>huishoudens!K8</f>
        <v>0</v>
      </c>
      <c r="L4" s="452">
        <f>huishoudens!L8</f>
        <v>0</v>
      </c>
      <c r="M4" s="452">
        <f>huishoudens!M8</f>
        <v>0</v>
      </c>
      <c r="N4" s="452">
        <f>huishoudens!N8</f>
        <v>26949.455885048261</v>
      </c>
      <c r="O4" s="452">
        <f>huishoudens!O8</f>
        <v>386.14333333333337</v>
      </c>
      <c r="P4" s="453">
        <f>huishoudens!P8</f>
        <v>533.86666666666667</v>
      </c>
      <c r="Q4" s="454">
        <f>SUM(B4:P4)</f>
        <v>191493.56111237174</v>
      </c>
    </row>
    <row r="5" spans="1:17">
      <c r="A5" s="451" t="s">
        <v>155</v>
      </c>
      <c r="B5" s="452">
        <f ca="1">tertiair!B16</f>
        <v>20379.946199999998</v>
      </c>
      <c r="C5" s="452">
        <f ca="1">tertiair!C16</f>
        <v>0</v>
      </c>
      <c r="D5" s="452">
        <f ca="1">tertiair!D16</f>
        <v>24896.407732111897</v>
      </c>
      <c r="E5" s="452">
        <f>tertiair!E16</f>
        <v>266.83390226943681</v>
      </c>
      <c r="F5" s="452">
        <f ca="1">tertiair!F16</f>
        <v>3151.0829159891027</v>
      </c>
      <c r="G5" s="452">
        <f>tertiair!G16</f>
        <v>0</v>
      </c>
      <c r="H5" s="452">
        <f>tertiair!H16</f>
        <v>0</v>
      </c>
      <c r="I5" s="452">
        <f>tertiair!I16</f>
        <v>0</v>
      </c>
      <c r="J5" s="452">
        <f>tertiair!J16</f>
        <v>0</v>
      </c>
      <c r="K5" s="452">
        <f>tertiair!K16</f>
        <v>0</v>
      </c>
      <c r="L5" s="452">
        <f ca="1">tertiair!L16</f>
        <v>0</v>
      </c>
      <c r="M5" s="452">
        <f>tertiair!M16</f>
        <v>0</v>
      </c>
      <c r="N5" s="452">
        <f ca="1">tertiair!N16</f>
        <v>1636.1209441908397</v>
      </c>
      <c r="O5" s="452">
        <f>tertiair!O16</f>
        <v>4.6900000000000004</v>
      </c>
      <c r="P5" s="453">
        <f>tertiair!P16</f>
        <v>57.2</v>
      </c>
      <c r="Q5" s="451">
        <f t="shared" ref="Q5:Q14" ca="1" si="0">SUM(B5:P5)</f>
        <v>50392.281694561272</v>
      </c>
    </row>
    <row r="6" spans="1:17">
      <c r="A6" s="451" t="s">
        <v>193</v>
      </c>
      <c r="B6" s="452">
        <f>'openbare verlichting'!B8</f>
        <v>1453.17</v>
      </c>
      <c r="C6" s="452"/>
      <c r="D6" s="452"/>
      <c r="E6" s="452"/>
      <c r="F6" s="452"/>
      <c r="G6" s="452"/>
      <c r="H6" s="452"/>
      <c r="I6" s="452"/>
      <c r="J6" s="452"/>
      <c r="K6" s="452"/>
      <c r="L6" s="452"/>
      <c r="M6" s="452"/>
      <c r="N6" s="452"/>
      <c r="O6" s="452"/>
      <c r="P6" s="453"/>
      <c r="Q6" s="451">
        <f t="shared" si="0"/>
        <v>1453.17</v>
      </c>
    </row>
    <row r="7" spans="1:17">
      <c r="A7" s="451" t="s">
        <v>111</v>
      </c>
      <c r="B7" s="452">
        <f>landbouw!B8</f>
        <v>9302.8564999999999</v>
      </c>
      <c r="C7" s="452">
        <f>landbouw!C8</f>
        <v>0</v>
      </c>
      <c r="D7" s="452">
        <f>landbouw!D8</f>
        <v>431.22653901980215</v>
      </c>
      <c r="E7" s="452">
        <f>landbouw!E8</f>
        <v>86.166953297466264</v>
      </c>
      <c r="F7" s="452">
        <f>landbouw!F8</f>
        <v>23603.119132844593</v>
      </c>
      <c r="G7" s="452">
        <f>landbouw!G8</f>
        <v>0</v>
      </c>
      <c r="H7" s="452">
        <f>landbouw!H8</f>
        <v>0</v>
      </c>
      <c r="I7" s="452">
        <f>landbouw!I8</f>
        <v>0</v>
      </c>
      <c r="J7" s="452">
        <f>landbouw!J8</f>
        <v>1426.2317216315489</v>
      </c>
      <c r="K7" s="452">
        <f>landbouw!K8</f>
        <v>0</v>
      </c>
      <c r="L7" s="452">
        <f>landbouw!L8</f>
        <v>0</v>
      </c>
      <c r="M7" s="452">
        <f>landbouw!M8</f>
        <v>0</v>
      </c>
      <c r="N7" s="452">
        <f>landbouw!N8</f>
        <v>0</v>
      </c>
      <c r="O7" s="452">
        <f>landbouw!O8</f>
        <v>0</v>
      </c>
      <c r="P7" s="453">
        <f>landbouw!P8</f>
        <v>0</v>
      </c>
      <c r="Q7" s="451">
        <f t="shared" si="0"/>
        <v>34849.600846793408</v>
      </c>
    </row>
    <row r="8" spans="1:17">
      <c r="A8" s="451" t="s">
        <v>649</v>
      </c>
      <c r="B8" s="452">
        <f>industrie!B18</f>
        <v>46250.933199999999</v>
      </c>
      <c r="C8" s="452">
        <f>industrie!C18</f>
        <v>1607.1428571428571</v>
      </c>
      <c r="D8" s="452">
        <f>industrie!D18</f>
        <v>64152.917937683531</v>
      </c>
      <c r="E8" s="452">
        <f>industrie!E18</f>
        <v>2933.9735275362918</v>
      </c>
      <c r="F8" s="452">
        <f>industrie!F18</f>
        <v>13315.559697348719</v>
      </c>
      <c r="G8" s="452">
        <f>industrie!G18</f>
        <v>0</v>
      </c>
      <c r="H8" s="452">
        <f>industrie!H18</f>
        <v>0</v>
      </c>
      <c r="I8" s="452">
        <f>industrie!I18</f>
        <v>0</v>
      </c>
      <c r="J8" s="452">
        <f>industrie!J18</f>
        <v>184.87416011902135</v>
      </c>
      <c r="K8" s="452">
        <f>industrie!K18</f>
        <v>0</v>
      </c>
      <c r="L8" s="452">
        <f>industrie!L18</f>
        <v>0</v>
      </c>
      <c r="M8" s="452">
        <f>industrie!M18</f>
        <v>0</v>
      </c>
      <c r="N8" s="452">
        <f>industrie!N18</f>
        <v>0</v>
      </c>
      <c r="O8" s="452">
        <f>industrie!O18</f>
        <v>0</v>
      </c>
      <c r="P8" s="453">
        <f>industrie!P18</f>
        <v>0</v>
      </c>
      <c r="Q8" s="451">
        <f t="shared" si="0"/>
        <v>128445.40137983042</v>
      </c>
    </row>
    <row r="9" spans="1:17" s="457" customFormat="1">
      <c r="A9" s="455" t="s">
        <v>570</v>
      </c>
      <c r="B9" s="456">
        <f>transport!B14</f>
        <v>8.6081557749171118</v>
      </c>
      <c r="C9" s="456">
        <f>transport!C14</f>
        <v>0</v>
      </c>
      <c r="D9" s="456">
        <f>transport!D14</f>
        <v>18.057365442952065</v>
      </c>
      <c r="E9" s="456">
        <f>transport!E14</f>
        <v>171.10226665824953</v>
      </c>
      <c r="F9" s="456">
        <f>transport!F14</f>
        <v>0</v>
      </c>
      <c r="G9" s="456">
        <f>transport!G14</f>
        <v>65149.107488039015</v>
      </c>
      <c r="H9" s="456">
        <f>transport!H14</f>
        <v>10904.736862444121</v>
      </c>
      <c r="I9" s="456">
        <f>transport!I14</f>
        <v>0</v>
      </c>
      <c r="J9" s="456">
        <f>transport!J14</f>
        <v>0</v>
      </c>
      <c r="K9" s="456">
        <f>transport!K14</f>
        <v>0</v>
      </c>
      <c r="L9" s="456">
        <f>transport!L14</f>
        <v>0</v>
      </c>
      <c r="M9" s="456">
        <f>transport!M14</f>
        <v>4109.7853658612885</v>
      </c>
      <c r="N9" s="456">
        <f>transport!N14</f>
        <v>0</v>
      </c>
      <c r="O9" s="456">
        <f>transport!O14</f>
        <v>0</v>
      </c>
      <c r="P9" s="456">
        <f>transport!P14</f>
        <v>0</v>
      </c>
      <c r="Q9" s="455">
        <f>SUM(B9:P9)</f>
        <v>80361.397504220542</v>
      </c>
    </row>
    <row r="10" spans="1:17">
      <c r="A10" s="451" t="s">
        <v>560</v>
      </c>
      <c r="B10" s="452">
        <f>transport!B54</f>
        <v>0</v>
      </c>
      <c r="C10" s="452">
        <f>transport!C54</f>
        <v>0</v>
      </c>
      <c r="D10" s="452">
        <f>transport!D54</f>
        <v>0</v>
      </c>
      <c r="E10" s="452">
        <f>transport!E54</f>
        <v>0</v>
      </c>
      <c r="F10" s="452">
        <f>transport!F54</f>
        <v>0</v>
      </c>
      <c r="G10" s="452">
        <f>transport!G54</f>
        <v>647.11407281986021</v>
      </c>
      <c r="H10" s="452">
        <f>transport!H54</f>
        <v>0</v>
      </c>
      <c r="I10" s="452">
        <f>transport!I54</f>
        <v>0</v>
      </c>
      <c r="J10" s="452">
        <f>transport!J54</f>
        <v>0</v>
      </c>
      <c r="K10" s="452">
        <f>transport!K54</f>
        <v>0</v>
      </c>
      <c r="L10" s="452">
        <f>transport!L54</f>
        <v>0</v>
      </c>
      <c r="M10" s="452">
        <f>transport!M54</f>
        <v>36.987070776174477</v>
      </c>
      <c r="N10" s="452">
        <f>transport!N54</f>
        <v>0</v>
      </c>
      <c r="O10" s="452">
        <f>transport!O54</f>
        <v>0</v>
      </c>
      <c r="P10" s="453">
        <f>transport!P54</f>
        <v>0</v>
      </c>
      <c r="Q10" s="451">
        <f t="shared" si="0"/>
        <v>684.10114359603472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1105.0150000000001</v>
      </c>
      <c r="C14" s="459"/>
      <c r="D14" s="459">
        <f>'SEAP template'!E25</f>
        <v>2359.6248275121998</v>
      </c>
      <c r="E14" s="459"/>
      <c r="F14" s="459"/>
      <c r="G14" s="459"/>
      <c r="H14" s="459"/>
      <c r="I14" s="459"/>
      <c r="J14" s="459"/>
      <c r="K14" s="459"/>
      <c r="L14" s="459"/>
      <c r="M14" s="459"/>
      <c r="N14" s="459"/>
      <c r="O14" s="459"/>
      <c r="P14" s="460"/>
      <c r="Q14" s="451">
        <f t="shared" si="0"/>
        <v>3464.6398275122001</v>
      </c>
    </row>
    <row r="15" spans="1:17" s="461" customFormat="1">
      <c r="A15" s="1017" t="s">
        <v>564</v>
      </c>
      <c r="B15" s="957">
        <f ca="1">SUM(B4:B14)</f>
        <v>110935.0824615913</v>
      </c>
      <c r="C15" s="957">
        <f t="shared" ref="C15:Q15" ca="1" si="1">SUM(C4:C14)</f>
        <v>1607.1428571428571</v>
      </c>
      <c r="D15" s="957">
        <f t="shared" ca="1" si="1"/>
        <v>155082.17281629791</v>
      </c>
      <c r="E15" s="957">
        <f t="shared" si="1"/>
        <v>43533.047369960492</v>
      </c>
      <c r="F15" s="957">
        <f t="shared" ca="1" si="1"/>
        <v>57221.043943840043</v>
      </c>
      <c r="G15" s="957">
        <f t="shared" si="1"/>
        <v>65796.221560858874</v>
      </c>
      <c r="H15" s="957">
        <f t="shared" si="1"/>
        <v>10904.736862444121</v>
      </c>
      <c r="I15" s="957">
        <f t="shared" si="1"/>
        <v>0</v>
      </c>
      <c r="J15" s="957">
        <f t="shared" si="1"/>
        <v>12350.456370873431</v>
      </c>
      <c r="K15" s="957">
        <f t="shared" si="1"/>
        <v>0</v>
      </c>
      <c r="L15" s="957">
        <f t="shared" ca="1" si="1"/>
        <v>0</v>
      </c>
      <c r="M15" s="957">
        <f t="shared" si="1"/>
        <v>4146.7724366374632</v>
      </c>
      <c r="N15" s="957">
        <f t="shared" ca="1" si="1"/>
        <v>28585.5768292391</v>
      </c>
      <c r="O15" s="957">
        <f t="shared" si="1"/>
        <v>390.83333333333337</v>
      </c>
      <c r="P15" s="957">
        <f t="shared" si="1"/>
        <v>591.06666666666672</v>
      </c>
      <c r="Q15" s="957">
        <f t="shared" ca="1" si="1"/>
        <v>491144.15350888565</v>
      </c>
    </row>
    <row r="17" spans="1:17">
      <c r="A17" s="462" t="s">
        <v>565</v>
      </c>
      <c r="B17" s="761">
        <f ca="1">huishoudens!B10</f>
        <v>0.1699708317892672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5512.9280211000214</v>
      </c>
      <c r="C22" s="452">
        <f t="shared" ref="C22:C32" ca="1" si="3">C4*$C$17</f>
        <v>0</v>
      </c>
      <c r="D22" s="452">
        <f t="shared" ref="D22:D32" si="4">D4*$D$17</f>
        <v>12771.235559734565</v>
      </c>
      <c r="E22" s="452">
        <f t="shared" ref="E22:E32" si="5">E4*$E$17</f>
        <v>9097.0183534851858</v>
      </c>
      <c r="F22" s="452">
        <f t="shared" ref="F22:F32" si="6">F4*$F$17</f>
        <v>4579.3923467745863</v>
      </c>
      <c r="G22" s="452">
        <f t="shared" ref="G22:G32" si="7">G4*$G$17</f>
        <v>0</v>
      </c>
      <c r="H22" s="452">
        <f t="shared" ref="H22:H32" si="8">H4*$H$17</f>
        <v>0</v>
      </c>
      <c r="I22" s="452">
        <f t="shared" ref="I22:I32" si="9">I4*$I$17</f>
        <v>0</v>
      </c>
      <c r="J22" s="452">
        <f t="shared" ref="J22:J32" si="10">J4*$J$17</f>
        <v>3801.7300731494925</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35762.304354243846</v>
      </c>
    </row>
    <row r="23" spans="1:17">
      <c r="A23" s="451" t="s">
        <v>155</v>
      </c>
      <c r="B23" s="452">
        <f t="shared" ca="1" si="2"/>
        <v>3463.9964074345148</v>
      </c>
      <c r="C23" s="452">
        <f t="shared" ca="1" si="3"/>
        <v>0</v>
      </c>
      <c r="D23" s="452">
        <f t="shared" ca="1" si="4"/>
        <v>5029.0743618866036</v>
      </c>
      <c r="E23" s="452">
        <f t="shared" si="5"/>
        <v>60.571295815162159</v>
      </c>
      <c r="F23" s="452">
        <f t="shared" ca="1" si="6"/>
        <v>841.33913856909044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9394.9812037053707</v>
      </c>
    </row>
    <row r="24" spans="1:17">
      <c r="A24" s="451" t="s">
        <v>193</v>
      </c>
      <c r="B24" s="452">
        <f t="shared" ca="1" si="2"/>
        <v>246.99651363120941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246.99651363120941</v>
      </c>
    </row>
    <row r="25" spans="1:17">
      <c r="A25" s="451" t="s">
        <v>111</v>
      </c>
      <c r="B25" s="452">
        <f t="shared" ca="1" si="2"/>
        <v>1581.2142573211909</v>
      </c>
      <c r="C25" s="452">
        <f t="shared" ca="1" si="3"/>
        <v>0</v>
      </c>
      <c r="D25" s="452">
        <f t="shared" si="4"/>
        <v>87.107760882000036</v>
      </c>
      <c r="E25" s="452">
        <f t="shared" si="5"/>
        <v>19.559898398524844</v>
      </c>
      <c r="F25" s="452">
        <f t="shared" si="6"/>
        <v>6302.0328084695066</v>
      </c>
      <c r="G25" s="452">
        <f t="shared" si="7"/>
        <v>0</v>
      </c>
      <c r="H25" s="452">
        <f t="shared" si="8"/>
        <v>0</v>
      </c>
      <c r="I25" s="452">
        <f t="shared" si="9"/>
        <v>0</v>
      </c>
      <c r="J25" s="452">
        <f t="shared" si="10"/>
        <v>504.88602945756827</v>
      </c>
      <c r="K25" s="452">
        <f t="shared" si="11"/>
        <v>0</v>
      </c>
      <c r="L25" s="452">
        <f t="shared" si="12"/>
        <v>0</v>
      </c>
      <c r="M25" s="452">
        <f t="shared" si="13"/>
        <v>0</v>
      </c>
      <c r="N25" s="452">
        <f t="shared" si="14"/>
        <v>0</v>
      </c>
      <c r="O25" s="452">
        <f t="shared" si="15"/>
        <v>0</v>
      </c>
      <c r="P25" s="453">
        <f t="shared" si="16"/>
        <v>0</v>
      </c>
      <c r="Q25" s="451">
        <f t="shared" ca="1" si="17"/>
        <v>8494.800754528791</v>
      </c>
    </row>
    <row r="26" spans="1:17">
      <c r="A26" s="451" t="s">
        <v>649</v>
      </c>
      <c r="B26" s="452">
        <f t="shared" ca="1" si="2"/>
        <v>7861.3095870338339</v>
      </c>
      <c r="C26" s="452">
        <f t="shared" ca="1" si="3"/>
        <v>0</v>
      </c>
      <c r="D26" s="452">
        <f t="shared" si="4"/>
        <v>12958.889423412074</v>
      </c>
      <c r="E26" s="452">
        <f t="shared" si="5"/>
        <v>666.01199075073828</v>
      </c>
      <c r="F26" s="452">
        <f t="shared" si="6"/>
        <v>3555.2544391921083</v>
      </c>
      <c r="G26" s="452">
        <f t="shared" si="7"/>
        <v>0</v>
      </c>
      <c r="H26" s="452">
        <f t="shared" si="8"/>
        <v>0</v>
      </c>
      <c r="I26" s="452">
        <f t="shared" si="9"/>
        <v>0</v>
      </c>
      <c r="J26" s="452">
        <f t="shared" si="10"/>
        <v>65.445452682133549</v>
      </c>
      <c r="K26" s="452">
        <f t="shared" si="11"/>
        <v>0</v>
      </c>
      <c r="L26" s="452">
        <f t="shared" si="12"/>
        <v>0</v>
      </c>
      <c r="M26" s="452">
        <f t="shared" si="13"/>
        <v>0</v>
      </c>
      <c r="N26" s="452">
        <f t="shared" si="14"/>
        <v>0</v>
      </c>
      <c r="O26" s="452">
        <f t="shared" si="15"/>
        <v>0</v>
      </c>
      <c r="P26" s="453">
        <f t="shared" si="16"/>
        <v>0</v>
      </c>
      <c r="Q26" s="451">
        <f t="shared" ca="1" si="17"/>
        <v>25106.910893070886</v>
      </c>
    </row>
    <row r="27" spans="1:17" s="457" customFormat="1">
      <c r="A27" s="455" t="s">
        <v>570</v>
      </c>
      <c r="B27" s="755">
        <f t="shared" ca="1" si="2"/>
        <v>1.4631353972342453</v>
      </c>
      <c r="C27" s="456">
        <f t="shared" ca="1" si="3"/>
        <v>0</v>
      </c>
      <c r="D27" s="456">
        <f t="shared" si="4"/>
        <v>3.6475878194763176</v>
      </c>
      <c r="E27" s="456">
        <f t="shared" si="5"/>
        <v>38.840214531422646</v>
      </c>
      <c r="F27" s="456">
        <f t="shared" si="6"/>
        <v>0</v>
      </c>
      <c r="G27" s="456">
        <f t="shared" si="7"/>
        <v>17394.811699306418</v>
      </c>
      <c r="H27" s="456">
        <f t="shared" si="8"/>
        <v>2715.2794787485859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20154.042115803139</v>
      </c>
    </row>
    <row r="28" spans="1:17">
      <c r="A28" s="451" t="s">
        <v>560</v>
      </c>
      <c r="B28" s="452">
        <f t="shared" ca="1" si="2"/>
        <v>0</v>
      </c>
      <c r="C28" s="452">
        <f t="shared" ca="1" si="3"/>
        <v>0</v>
      </c>
      <c r="D28" s="452">
        <f t="shared" si="4"/>
        <v>0</v>
      </c>
      <c r="E28" s="452">
        <f t="shared" si="5"/>
        <v>0</v>
      </c>
      <c r="F28" s="452">
        <f t="shared" si="6"/>
        <v>0</v>
      </c>
      <c r="G28" s="452">
        <f t="shared" si="7"/>
        <v>172.7794574429027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172.7794574429027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187.8203186896171</v>
      </c>
      <c r="C32" s="452">
        <f t="shared" ca="1" si="3"/>
        <v>0</v>
      </c>
      <c r="D32" s="452">
        <f t="shared" si="4"/>
        <v>476.64421515746437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664.4645338470815</v>
      </c>
    </row>
    <row r="33" spans="1:17" s="461" customFormat="1">
      <c r="A33" s="1017" t="s">
        <v>564</v>
      </c>
      <c r="B33" s="957">
        <f ca="1">SUM(B22:B32)</f>
        <v>18855.728240607619</v>
      </c>
      <c r="C33" s="957">
        <f t="shared" ref="C33:Q33" ca="1" si="18">SUM(C22:C32)</f>
        <v>0</v>
      </c>
      <c r="D33" s="957">
        <f t="shared" ca="1" si="18"/>
        <v>31326.598908892185</v>
      </c>
      <c r="E33" s="957">
        <f t="shared" si="18"/>
        <v>9882.0017529810339</v>
      </c>
      <c r="F33" s="957">
        <f t="shared" ca="1" si="18"/>
        <v>15278.01873300529</v>
      </c>
      <c r="G33" s="957">
        <f t="shared" si="18"/>
        <v>17567.59115674932</v>
      </c>
      <c r="H33" s="957">
        <f t="shared" si="18"/>
        <v>2715.2794787485859</v>
      </c>
      <c r="I33" s="957">
        <f t="shared" si="18"/>
        <v>0</v>
      </c>
      <c r="J33" s="957">
        <f t="shared" si="18"/>
        <v>4372.0615552891941</v>
      </c>
      <c r="K33" s="957">
        <f t="shared" si="18"/>
        <v>0</v>
      </c>
      <c r="L33" s="957">
        <f t="shared" ca="1" si="18"/>
        <v>0</v>
      </c>
      <c r="M33" s="957">
        <f t="shared" si="18"/>
        <v>0</v>
      </c>
      <c r="N33" s="957">
        <f t="shared" ca="1" si="18"/>
        <v>0</v>
      </c>
      <c r="O33" s="957">
        <f t="shared" si="18"/>
        <v>0</v>
      </c>
      <c r="P33" s="957">
        <f t="shared" si="18"/>
        <v>0</v>
      </c>
      <c r="Q33" s="957">
        <f t="shared" ca="1" si="18"/>
        <v>99997.279826273225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14365.913149339714</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10124.132024434301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1125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1323.5294117647061</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25615.045173774015</v>
      </c>
      <c r="C10" s="1038">
        <f>SUM(C4:C9)</f>
        <v>0</v>
      </c>
      <c r="D10" s="1038">
        <f t="shared" ref="D10:H10" si="0">SUM(D8:D9)</f>
        <v>0</v>
      </c>
      <c r="E10" s="1038">
        <f t="shared" si="0"/>
        <v>0</v>
      </c>
      <c r="F10" s="1038">
        <f t="shared" si="0"/>
        <v>0</v>
      </c>
      <c r="G10" s="1038">
        <f t="shared" si="0"/>
        <v>0</v>
      </c>
      <c r="H10" s="1038">
        <f t="shared" si="0"/>
        <v>0</v>
      </c>
      <c r="I10" s="1038">
        <f>SUM(I8:I9)</f>
        <v>0</v>
      </c>
      <c r="J10" s="1038">
        <f>SUM(J8:J9)</f>
        <v>1323.5294117647061</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0.1699708317892672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1607.1428571428571</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1890.7563025210086</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1607.1428571428571</v>
      </c>
      <c r="C20" s="1038">
        <f>SUM(C17:C19)</f>
        <v>0</v>
      </c>
      <c r="D20" s="1038">
        <f t="shared" ref="D20:H20" si="2">SUM(D17:D19)</f>
        <v>0</v>
      </c>
      <c r="E20" s="1038">
        <f t="shared" si="2"/>
        <v>0</v>
      </c>
      <c r="F20" s="1038">
        <f t="shared" si="2"/>
        <v>0</v>
      </c>
      <c r="G20" s="1038">
        <f t="shared" si="2"/>
        <v>0</v>
      </c>
      <c r="H20" s="1038">
        <f t="shared" si="2"/>
        <v>0</v>
      </c>
      <c r="I20" s="1038">
        <f>SUM(I17:I19)</f>
        <v>0</v>
      </c>
      <c r="J20" s="1038">
        <f>SUM(J17:J19)</f>
        <v>1890.7563025210086</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0.1699708317892672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0.1699708317892672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0.1699708317892672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8173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9584</v>
      </c>
      <c r="C14" s="330"/>
      <c r="D14" s="330"/>
      <c r="E14" s="330"/>
      <c r="F14" s="330"/>
    </row>
    <row r="15" spans="1:6">
      <c r="A15" s="1305" t="s">
        <v>183</v>
      </c>
      <c r="B15" s="1306">
        <v>124</v>
      </c>
      <c r="C15" s="330"/>
      <c r="D15" s="330"/>
      <c r="E15" s="330"/>
      <c r="F15" s="330"/>
    </row>
    <row r="16" spans="1:6">
      <c r="A16" s="1305" t="s">
        <v>6</v>
      </c>
      <c r="B16" s="1306">
        <v>3036</v>
      </c>
      <c r="C16" s="330"/>
      <c r="D16" s="330"/>
      <c r="E16" s="330"/>
      <c r="F16" s="330"/>
    </row>
    <row r="17" spans="1:6">
      <c r="A17" s="1305" t="s">
        <v>7</v>
      </c>
      <c r="B17" s="1306">
        <v>2208</v>
      </c>
      <c r="C17" s="330"/>
      <c r="D17" s="330"/>
      <c r="E17" s="330"/>
      <c r="F17" s="330"/>
    </row>
    <row r="18" spans="1:6">
      <c r="A18" s="1305" t="s">
        <v>8</v>
      </c>
      <c r="B18" s="1306">
        <v>3201</v>
      </c>
      <c r="C18" s="330"/>
      <c r="D18" s="330"/>
      <c r="E18" s="330"/>
      <c r="F18" s="330"/>
    </row>
    <row r="19" spans="1:6">
      <c r="A19" s="1305" t="s">
        <v>9</v>
      </c>
      <c r="B19" s="1306">
        <v>2971</v>
      </c>
      <c r="C19" s="330"/>
      <c r="D19" s="330"/>
      <c r="E19" s="330"/>
      <c r="F19" s="330"/>
    </row>
    <row r="20" spans="1:6">
      <c r="A20" s="1305" t="s">
        <v>10</v>
      </c>
      <c r="B20" s="1306">
        <v>1972</v>
      </c>
      <c r="C20" s="330"/>
      <c r="D20" s="330"/>
      <c r="E20" s="330"/>
      <c r="F20" s="330"/>
    </row>
    <row r="21" spans="1:6">
      <c r="A21" s="1305" t="s">
        <v>11</v>
      </c>
      <c r="B21" s="1306">
        <v>50041</v>
      </c>
      <c r="C21" s="330"/>
      <c r="D21" s="330"/>
      <c r="E21" s="330"/>
      <c r="F21" s="330"/>
    </row>
    <row r="22" spans="1:6">
      <c r="A22" s="1305" t="s">
        <v>12</v>
      </c>
      <c r="B22" s="1306">
        <v>95544</v>
      </c>
      <c r="C22" s="330"/>
      <c r="D22" s="330"/>
      <c r="E22" s="330"/>
      <c r="F22" s="330"/>
    </row>
    <row r="23" spans="1:6">
      <c r="A23" s="1305" t="s">
        <v>13</v>
      </c>
      <c r="B23" s="1306">
        <v>1756</v>
      </c>
      <c r="C23" s="330"/>
      <c r="D23" s="330"/>
      <c r="E23" s="330"/>
      <c r="F23" s="330"/>
    </row>
    <row r="24" spans="1:6">
      <c r="A24" s="1305" t="s">
        <v>14</v>
      </c>
      <c r="B24" s="1306">
        <v>633</v>
      </c>
      <c r="C24" s="330"/>
      <c r="D24" s="330"/>
      <c r="E24" s="330"/>
      <c r="F24" s="330"/>
    </row>
    <row r="25" spans="1:6">
      <c r="A25" s="1305" t="s">
        <v>15</v>
      </c>
      <c r="B25" s="1306">
        <v>11557</v>
      </c>
      <c r="C25" s="330"/>
      <c r="D25" s="330"/>
      <c r="E25" s="330"/>
      <c r="F25" s="330"/>
    </row>
    <row r="26" spans="1:6">
      <c r="A26" s="1305" t="s">
        <v>16</v>
      </c>
      <c r="B26" s="1306">
        <v>550</v>
      </c>
      <c r="C26" s="330"/>
      <c r="D26" s="330"/>
      <c r="E26" s="330"/>
      <c r="F26" s="330"/>
    </row>
    <row r="27" spans="1:6">
      <c r="A27" s="1305" t="s">
        <v>17</v>
      </c>
      <c r="B27" s="1306">
        <v>26</v>
      </c>
      <c r="C27" s="330"/>
      <c r="D27" s="330"/>
      <c r="E27" s="330"/>
      <c r="F27" s="330"/>
    </row>
    <row r="28" spans="1:6" s="43" customFormat="1">
      <c r="A28" s="1307" t="s">
        <v>18</v>
      </c>
      <c r="B28" s="1308">
        <v>461755</v>
      </c>
      <c r="C28" s="336"/>
      <c r="D28" s="336"/>
      <c r="E28" s="336"/>
      <c r="F28" s="336"/>
    </row>
    <row r="29" spans="1:6">
      <c r="A29" s="1307" t="s">
        <v>909</v>
      </c>
      <c r="B29" s="1308">
        <v>179</v>
      </c>
      <c r="C29" s="336"/>
      <c r="D29" s="336"/>
      <c r="E29" s="336"/>
      <c r="F29" s="336"/>
    </row>
    <row r="30" spans="1:6">
      <c r="A30" s="1300" t="s">
        <v>910</v>
      </c>
      <c r="B30" s="1309">
        <v>55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3</v>
      </c>
      <c r="F36" s="1306">
        <v>39114.25</v>
      </c>
    </row>
    <row r="37" spans="1:6">
      <c r="A37" s="1305" t="s">
        <v>24</v>
      </c>
      <c r="B37" s="1305" t="s">
        <v>27</v>
      </c>
      <c r="C37" s="1306">
        <v>0</v>
      </c>
      <c r="D37" s="1306">
        <v>0</v>
      </c>
      <c r="E37" s="1306">
        <v>0</v>
      </c>
      <c r="F37" s="1306">
        <v>0</v>
      </c>
    </row>
    <row r="38" spans="1:6">
      <c r="A38" s="1305" t="s">
        <v>24</v>
      </c>
      <c r="B38" s="1305" t="s">
        <v>28</v>
      </c>
      <c r="C38" s="1306">
        <v>1</v>
      </c>
      <c r="D38" s="1306">
        <v>104990.79282159101</v>
      </c>
      <c r="E38" s="1306">
        <v>4</v>
      </c>
      <c r="F38" s="1306">
        <v>9790.7340000000004</v>
      </c>
    </row>
    <row r="39" spans="1:6">
      <c r="A39" s="1305" t="s">
        <v>29</v>
      </c>
      <c r="B39" s="1305" t="s">
        <v>30</v>
      </c>
      <c r="C39" s="1306">
        <v>5210</v>
      </c>
      <c r="D39" s="1306">
        <v>70093058.109232306</v>
      </c>
      <c r="E39" s="1306">
        <v>7772</v>
      </c>
      <c r="F39" s="1306">
        <v>27614963</v>
      </c>
    </row>
    <row r="40" spans="1:6">
      <c r="A40" s="1305" t="s">
        <v>29</v>
      </c>
      <c r="B40" s="1305" t="s">
        <v>28</v>
      </c>
      <c r="C40" s="1306">
        <v>0</v>
      </c>
      <c r="D40" s="1306">
        <v>0</v>
      </c>
      <c r="E40" s="1306">
        <v>0</v>
      </c>
      <c r="F40" s="1306">
        <v>0</v>
      </c>
    </row>
    <row r="41" spans="1:6">
      <c r="A41" s="1305" t="s">
        <v>31</v>
      </c>
      <c r="B41" s="1305" t="s">
        <v>32</v>
      </c>
      <c r="C41" s="1306">
        <v>87</v>
      </c>
      <c r="D41" s="1306">
        <v>3631431.9732973101</v>
      </c>
      <c r="E41" s="1306">
        <v>252</v>
      </c>
      <c r="F41" s="1306">
        <v>3139558</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9</v>
      </c>
      <c r="D44" s="1306">
        <v>1760124.52793233</v>
      </c>
      <c r="E44" s="1306">
        <v>24</v>
      </c>
      <c r="F44" s="1306">
        <v>1186477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3</v>
      </c>
      <c r="D47" s="1306">
        <v>30879.366754363899</v>
      </c>
      <c r="E47" s="1306">
        <v>6</v>
      </c>
      <c r="F47" s="1306">
        <v>110392.6</v>
      </c>
    </row>
    <row r="48" spans="1:6">
      <c r="A48" s="1305" t="s">
        <v>31</v>
      </c>
      <c r="B48" s="1305" t="s">
        <v>28</v>
      </c>
      <c r="C48" s="1306">
        <v>40</v>
      </c>
      <c r="D48" s="1306">
        <v>65011757.860955201</v>
      </c>
      <c r="E48" s="1306">
        <v>72</v>
      </c>
      <c r="F48" s="1306">
        <v>39971688</v>
      </c>
    </row>
    <row r="49" spans="1:6">
      <c r="A49" s="1305" t="s">
        <v>31</v>
      </c>
      <c r="B49" s="1305" t="s">
        <v>39</v>
      </c>
      <c r="C49" s="1306">
        <v>0</v>
      </c>
      <c r="D49" s="1306">
        <v>0</v>
      </c>
      <c r="E49" s="1306">
        <v>0</v>
      </c>
      <c r="F49" s="1306">
        <v>0</v>
      </c>
    </row>
    <row r="50" spans="1:6">
      <c r="A50" s="1305" t="s">
        <v>31</v>
      </c>
      <c r="B50" s="1305" t="s">
        <v>40</v>
      </c>
      <c r="C50" s="1306">
        <v>11</v>
      </c>
      <c r="D50" s="1306">
        <v>688775.15984519199</v>
      </c>
      <c r="E50" s="1306">
        <v>22</v>
      </c>
      <c r="F50" s="1306">
        <v>717817.6</v>
      </c>
    </row>
    <row r="51" spans="1:6">
      <c r="A51" s="1305" t="s">
        <v>41</v>
      </c>
      <c r="B51" s="1305" t="s">
        <v>42</v>
      </c>
      <c r="C51" s="1306">
        <v>14</v>
      </c>
      <c r="D51" s="1306">
        <v>310627.27653237397</v>
      </c>
      <c r="E51" s="1306">
        <v>303</v>
      </c>
      <c r="F51" s="1306">
        <v>8794888</v>
      </c>
    </row>
    <row r="52" spans="1:6">
      <c r="A52" s="1305" t="s">
        <v>41</v>
      </c>
      <c r="B52" s="1305" t="s">
        <v>28</v>
      </c>
      <c r="C52" s="1306">
        <v>7</v>
      </c>
      <c r="D52" s="1306">
        <v>167450.926372063</v>
      </c>
      <c r="E52" s="1306">
        <v>21</v>
      </c>
      <c r="F52" s="1306">
        <v>507968.5</v>
      </c>
    </row>
    <row r="53" spans="1:6">
      <c r="A53" s="1305" t="s">
        <v>43</v>
      </c>
      <c r="B53" s="1305" t="s">
        <v>44</v>
      </c>
      <c r="C53" s="1306">
        <v>137</v>
      </c>
      <c r="D53" s="1306">
        <v>2359624.8275122</v>
      </c>
      <c r="E53" s="1306">
        <v>296</v>
      </c>
      <c r="F53" s="1306">
        <v>1105015</v>
      </c>
    </row>
    <row r="54" spans="1:6">
      <c r="A54" s="1305" t="s">
        <v>45</v>
      </c>
      <c r="B54" s="1305" t="s">
        <v>46</v>
      </c>
      <c r="C54" s="1306">
        <v>0</v>
      </c>
      <c r="D54" s="1306">
        <v>0</v>
      </c>
      <c r="E54" s="1306">
        <v>1</v>
      </c>
      <c r="F54" s="1306">
        <v>1453170</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37</v>
      </c>
      <c r="D57" s="1306">
        <v>2449873.1723503801</v>
      </c>
      <c r="E57" s="1306">
        <v>87</v>
      </c>
      <c r="F57" s="1306">
        <v>1718564</v>
      </c>
    </row>
    <row r="58" spans="1:6">
      <c r="A58" s="1305" t="s">
        <v>48</v>
      </c>
      <c r="B58" s="1305" t="s">
        <v>50</v>
      </c>
      <c r="C58" s="1306">
        <v>25</v>
      </c>
      <c r="D58" s="1306">
        <v>2135593.6126562301</v>
      </c>
      <c r="E58" s="1306">
        <v>40</v>
      </c>
      <c r="F58" s="1306">
        <v>1316942</v>
      </c>
    </row>
    <row r="59" spans="1:6">
      <c r="A59" s="1305" t="s">
        <v>48</v>
      </c>
      <c r="B59" s="1305" t="s">
        <v>51</v>
      </c>
      <c r="C59" s="1306">
        <v>114</v>
      </c>
      <c r="D59" s="1306">
        <v>4074063.7408536901</v>
      </c>
      <c r="E59" s="1306">
        <v>270</v>
      </c>
      <c r="F59" s="1306">
        <v>5892418</v>
      </c>
    </row>
    <row r="60" spans="1:6">
      <c r="A60" s="1305" t="s">
        <v>48</v>
      </c>
      <c r="B60" s="1305" t="s">
        <v>52</v>
      </c>
      <c r="C60" s="1306">
        <v>91</v>
      </c>
      <c r="D60" s="1306">
        <v>4869294.7876414098</v>
      </c>
      <c r="E60" s="1306">
        <v>124</v>
      </c>
      <c r="F60" s="1306">
        <v>3594158</v>
      </c>
    </row>
    <row r="61" spans="1:6">
      <c r="A61" s="1305" t="s">
        <v>48</v>
      </c>
      <c r="B61" s="1305" t="s">
        <v>53</v>
      </c>
      <c r="C61" s="1306">
        <v>96</v>
      </c>
      <c r="D61" s="1306">
        <v>3989578.1837392799</v>
      </c>
      <c r="E61" s="1306">
        <v>234</v>
      </c>
      <c r="F61" s="1306">
        <v>3657198</v>
      </c>
    </row>
    <row r="62" spans="1:6">
      <c r="A62" s="1305" t="s">
        <v>48</v>
      </c>
      <c r="B62" s="1305" t="s">
        <v>54</v>
      </c>
      <c r="C62" s="1306">
        <v>6</v>
      </c>
      <c r="D62" s="1306">
        <v>334502.01686532999</v>
      </c>
      <c r="E62" s="1306">
        <v>15</v>
      </c>
      <c r="F62" s="1306">
        <v>340191.2</v>
      </c>
    </row>
    <row r="63" spans="1:6">
      <c r="A63" s="1305" t="s">
        <v>48</v>
      </c>
      <c r="B63" s="1305" t="s">
        <v>28</v>
      </c>
      <c r="C63" s="1306">
        <v>148</v>
      </c>
      <c r="D63" s="1306">
        <v>9748433.4350199495</v>
      </c>
      <c r="E63" s="1306">
        <v>161</v>
      </c>
      <c r="F63" s="1306">
        <v>3860475</v>
      </c>
    </row>
    <row r="64" spans="1:6">
      <c r="A64" s="1305" t="s">
        <v>55</v>
      </c>
      <c r="B64" s="1305" t="s">
        <v>56</v>
      </c>
      <c r="C64" s="1306">
        <v>0</v>
      </c>
      <c r="D64" s="1306">
        <v>0</v>
      </c>
      <c r="E64" s="1306">
        <v>0</v>
      </c>
      <c r="F64" s="1306">
        <v>0</v>
      </c>
    </row>
    <row r="65" spans="1:6">
      <c r="A65" s="1305" t="s">
        <v>55</v>
      </c>
      <c r="B65" s="1305" t="s">
        <v>28</v>
      </c>
      <c r="C65" s="1306">
        <v>5</v>
      </c>
      <c r="D65" s="1306">
        <v>160330.32294662399</v>
      </c>
      <c r="E65" s="1306">
        <v>8</v>
      </c>
      <c r="F65" s="1306">
        <v>127417.7</v>
      </c>
    </row>
    <row r="66" spans="1:6">
      <c r="A66" s="1305" t="s">
        <v>55</v>
      </c>
      <c r="B66" s="1305" t="s">
        <v>57</v>
      </c>
      <c r="C66" s="1306">
        <v>0</v>
      </c>
      <c r="D66" s="1306">
        <v>0</v>
      </c>
      <c r="E66" s="1306">
        <v>9</v>
      </c>
      <c r="F66" s="1306">
        <v>264228.8</v>
      </c>
    </row>
    <row r="67" spans="1:6">
      <c r="A67" s="1307" t="s">
        <v>55</v>
      </c>
      <c r="B67" s="1307" t="s">
        <v>58</v>
      </c>
      <c r="C67" s="1306">
        <v>0</v>
      </c>
      <c r="D67" s="1306">
        <v>0</v>
      </c>
      <c r="E67" s="1306">
        <v>0</v>
      </c>
      <c r="F67" s="1306">
        <v>0</v>
      </c>
    </row>
    <row r="68" spans="1:6">
      <c r="A68" s="1300" t="s">
        <v>55</v>
      </c>
      <c r="B68" s="1300" t="s">
        <v>59</v>
      </c>
      <c r="C68" s="1309">
        <v>8</v>
      </c>
      <c r="D68" s="1309">
        <v>227533.15899439499</v>
      </c>
      <c r="E68" s="1309">
        <v>21</v>
      </c>
      <c r="F68" s="1309">
        <v>182898.3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54494380</v>
      </c>
      <c r="E73" s="450"/>
      <c r="F73" s="330"/>
    </row>
    <row r="74" spans="1:6">
      <c r="A74" s="1305" t="s">
        <v>63</v>
      </c>
      <c r="B74" s="1305" t="s">
        <v>710</v>
      </c>
      <c r="C74" s="1319" t="s">
        <v>712</v>
      </c>
      <c r="D74" s="1320">
        <v>8502406.3281227648</v>
      </c>
      <c r="E74" s="450"/>
      <c r="F74" s="330"/>
    </row>
    <row r="75" spans="1:6">
      <c r="A75" s="1305" t="s">
        <v>64</v>
      </c>
      <c r="B75" s="1305" t="s">
        <v>709</v>
      </c>
      <c r="C75" s="1319" t="s">
        <v>713</v>
      </c>
      <c r="D75" s="1320">
        <v>21588484</v>
      </c>
      <c r="E75" s="450"/>
      <c r="F75" s="330"/>
    </row>
    <row r="76" spans="1:6">
      <c r="A76" s="1305" t="s">
        <v>64</v>
      </c>
      <c r="B76" s="1305" t="s">
        <v>710</v>
      </c>
      <c r="C76" s="1319" t="s">
        <v>714</v>
      </c>
      <c r="D76" s="1320">
        <v>1129950.3281227651</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183681.34375446968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14365.913149339714</v>
      </c>
      <c r="C90" s="330"/>
      <c r="D90" s="330"/>
      <c r="E90" s="330"/>
      <c r="F90" s="330"/>
    </row>
    <row r="91" spans="1:6">
      <c r="A91" s="1305" t="s">
        <v>67</v>
      </c>
      <c r="B91" s="1306">
        <v>4819.5904058163942</v>
      </c>
      <c r="C91" s="330"/>
      <c r="D91" s="330"/>
      <c r="E91" s="330"/>
      <c r="F91" s="330"/>
    </row>
    <row r="92" spans="1:6">
      <c r="A92" s="1300" t="s">
        <v>68</v>
      </c>
      <c r="B92" s="1301">
        <v>5304.5416186179073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3399</v>
      </c>
      <c r="C97" s="330"/>
      <c r="D97" s="330"/>
      <c r="E97" s="330"/>
      <c r="F97" s="330"/>
    </row>
    <row r="98" spans="1:6">
      <c r="A98" s="1305" t="s">
        <v>71</v>
      </c>
      <c r="B98" s="1306">
        <v>0</v>
      </c>
      <c r="C98" s="330"/>
      <c r="D98" s="330"/>
      <c r="E98" s="330"/>
      <c r="F98" s="330"/>
    </row>
    <row r="99" spans="1:6">
      <c r="A99" s="1305" t="s">
        <v>72</v>
      </c>
      <c r="B99" s="1306">
        <v>252</v>
      </c>
      <c r="C99" s="330"/>
      <c r="D99" s="330"/>
      <c r="E99" s="330"/>
      <c r="F99" s="330"/>
    </row>
    <row r="100" spans="1:6">
      <c r="A100" s="1305" t="s">
        <v>73</v>
      </c>
      <c r="B100" s="1306">
        <v>404</v>
      </c>
      <c r="C100" s="330"/>
      <c r="D100" s="330"/>
      <c r="E100" s="330"/>
      <c r="F100" s="330"/>
    </row>
    <row r="101" spans="1:6">
      <c r="A101" s="1305" t="s">
        <v>74</v>
      </c>
      <c r="B101" s="1306">
        <v>235</v>
      </c>
      <c r="C101" s="330"/>
      <c r="D101" s="330"/>
      <c r="E101" s="330"/>
      <c r="F101" s="330"/>
    </row>
    <row r="102" spans="1:6">
      <c r="A102" s="1305" t="s">
        <v>75</v>
      </c>
      <c r="B102" s="1306">
        <v>124</v>
      </c>
      <c r="C102" s="330"/>
      <c r="D102" s="330"/>
      <c r="E102" s="330"/>
      <c r="F102" s="330"/>
    </row>
    <row r="103" spans="1:6">
      <c r="A103" s="1305" t="s">
        <v>76</v>
      </c>
      <c r="B103" s="1306">
        <v>575</v>
      </c>
      <c r="C103" s="330"/>
      <c r="D103" s="330"/>
      <c r="E103" s="330"/>
      <c r="F103" s="330"/>
    </row>
    <row r="104" spans="1:6">
      <c r="A104" s="1305" t="s">
        <v>77</v>
      </c>
      <c r="B104" s="1306">
        <v>2396</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15</v>
      </c>
      <c r="D123" s="330"/>
      <c r="E123" s="330"/>
      <c r="F123" s="330"/>
    </row>
    <row r="124" spans="1:6" s="43" customFormat="1">
      <c r="A124" s="1307" t="s">
        <v>88</v>
      </c>
      <c r="B124" s="1328">
        <v>2</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230</v>
      </c>
      <c r="C129" s="330"/>
      <c r="D129" s="330"/>
      <c r="E129" s="330"/>
      <c r="F129" s="330"/>
    </row>
    <row r="130" spans="1:6">
      <c r="A130" s="1305" t="s">
        <v>294</v>
      </c>
      <c r="B130" s="1306">
        <v>3</v>
      </c>
      <c r="C130" s="330"/>
      <c r="D130" s="330"/>
      <c r="E130" s="330"/>
      <c r="F130" s="330"/>
    </row>
    <row r="131" spans="1:6">
      <c r="A131" s="1305" t="s">
        <v>295</v>
      </c>
      <c r="B131" s="1306">
        <v>3</v>
      </c>
      <c r="C131" s="330"/>
      <c r="D131" s="330"/>
      <c r="E131" s="330"/>
      <c r="F131" s="330"/>
    </row>
    <row r="132" spans="1:6">
      <c r="A132" s="1300" t="s">
        <v>296</v>
      </c>
      <c r="B132" s="1301">
        <v>15</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110935.0824615913</v>
      </c>
      <c r="C3" s="43" t="s">
        <v>169</v>
      </c>
      <c r="D3" s="43"/>
      <c r="E3" s="154"/>
      <c r="F3" s="43"/>
      <c r="G3" s="43"/>
      <c r="H3" s="43"/>
      <c r="I3" s="43"/>
      <c r="J3" s="43"/>
      <c r="K3" s="96"/>
    </row>
    <row r="4" spans="1:11">
      <c r="A4" s="359" t="s">
        <v>170</v>
      </c>
      <c r="B4" s="49">
        <f>IF(ISERROR('SEAP template'!B78+'SEAP template'!C78),0,'SEAP template'!B78+'SEAP template'!C78)</f>
        <v>25615.045173774015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0.1699708317892672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1607.1428571428571</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1453.17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1453.17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0.1699708317892672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246.99651363120941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27614.963</v>
      </c>
      <c r="C5" s="17">
        <f>IF(ISERROR('Eigen informatie GS &amp; warmtenet'!B57),0,'Eigen informatie GS &amp; warmtenet'!B57)</f>
        <v>0</v>
      </c>
      <c r="D5" s="30">
        <f>(SUM(HH_hh_gas_kWh,HH_rest_gas_kWh)/1000)*0.902</f>
        <v>63223.938414527547</v>
      </c>
      <c r="E5" s="17">
        <f>B46*B57</f>
        <v>40074.970720199053</v>
      </c>
      <c r="F5" s="17">
        <f>B51*B62</f>
        <v>17151.282197657627</v>
      </c>
      <c r="G5" s="18"/>
      <c r="H5" s="17"/>
      <c r="I5" s="17"/>
      <c r="J5" s="17">
        <f>B50*B61+C50*C61</f>
        <v>10739.35048912286</v>
      </c>
      <c r="K5" s="17"/>
      <c r="L5" s="17"/>
      <c r="M5" s="17"/>
      <c r="N5" s="17">
        <f>B48*B59+C48*C59</f>
        <v>26949.455885048261</v>
      </c>
      <c r="O5" s="17">
        <f>B69*B70*B71</f>
        <v>386.14333333333337</v>
      </c>
      <c r="P5" s="17">
        <f>B77*B78*B79/1000-B77*B78*B79/1000/B80</f>
        <v>533.86666666666667</v>
      </c>
    </row>
    <row r="6" spans="1:16">
      <c r="A6" s="16" t="s">
        <v>630</v>
      </c>
      <c r="B6" s="763">
        <f>kWh_PV_kleiner_dan_10kW</f>
        <v>4819.5904058163942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32434.553405816394</v>
      </c>
      <c r="C8" s="21">
        <f>C5</f>
        <v>0</v>
      </c>
      <c r="D8" s="21">
        <f>D5</f>
        <v>63223.938414527547</v>
      </c>
      <c r="E8" s="21">
        <f>E5</f>
        <v>40074.970720199053</v>
      </c>
      <c r="F8" s="21">
        <f>F5</f>
        <v>17151.282197657627</v>
      </c>
      <c r="G8" s="21"/>
      <c r="H8" s="21"/>
      <c r="I8" s="21"/>
      <c r="J8" s="21">
        <f>J5</f>
        <v>10739.35048912286</v>
      </c>
      <c r="K8" s="21"/>
      <c r="L8" s="21">
        <f>L5</f>
        <v>0</v>
      </c>
      <c r="M8" s="21">
        <f>M5</f>
        <v>0</v>
      </c>
      <c r="N8" s="21">
        <f>N5</f>
        <v>26949.455885048261</v>
      </c>
      <c r="O8" s="21">
        <f>O5</f>
        <v>386.14333333333337</v>
      </c>
      <c r="P8" s="21">
        <f>P5</f>
        <v>533.86666666666667</v>
      </c>
    </row>
    <row r="9" spans="1:16">
      <c r="B9" s="19"/>
      <c r="C9" s="19"/>
      <c r="D9" s="258"/>
      <c r="E9" s="19"/>
      <c r="F9" s="19"/>
      <c r="G9" s="19"/>
      <c r="H9" s="19"/>
      <c r="I9" s="19"/>
      <c r="J9" s="19"/>
      <c r="K9" s="19"/>
      <c r="L9" s="19"/>
      <c r="M9" s="19"/>
      <c r="N9" s="19"/>
      <c r="O9" s="19"/>
      <c r="P9" s="19"/>
    </row>
    <row r="10" spans="1:16">
      <c r="A10" s="24" t="s">
        <v>213</v>
      </c>
      <c r="B10" s="25">
        <f ca="1">'EF ele_warmte'!B12</f>
        <v>0.1699708317892672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5512.9280211000214</v>
      </c>
      <c r="C12" s="23">
        <f ca="1">C10*C8</f>
        <v>0</v>
      </c>
      <c r="D12" s="23">
        <f>D8*D10</f>
        <v>12771.235559734565</v>
      </c>
      <c r="E12" s="23">
        <f>E10*E8</f>
        <v>9097.0183534851858</v>
      </c>
      <c r="F12" s="23">
        <f>F10*F8</f>
        <v>4579.3923467745863</v>
      </c>
      <c r="G12" s="23"/>
      <c r="H12" s="23"/>
      <c r="I12" s="23"/>
      <c r="J12" s="23">
        <f>J10*J8</f>
        <v>3801.7300731494925</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3399</v>
      </c>
      <c r="C18" s="166" t="s">
        <v>110</v>
      </c>
      <c r="D18" s="228"/>
      <c r="E18" s="15"/>
    </row>
    <row r="19" spans="1:7">
      <c r="A19" s="171" t="s">
        <v>71</v>
      </c>
      <c r="B19" s="37">
        <f>aantalw2001_ander</f>
        <v>0</v>
      </c>
      <c r="C19" s="166" t="s">
        <v>110</v>
      </c>
      <c r="D19" s="229"/>
      <c r="E19" s="15"/>
    </row>
    <row r="20" spans="1:7">
      <c r="A20" s="171" t="s">
        <v>72</v>
      </c>
      <c r="B20" s="37">
        <f>aantalw2001_propaan</f>
        <v>252</v>
      </c>
      <c r="C20" s="167">
        <f>IF(ISERROR(B20/SUM($B$20,$B$21,$B$22)*100),0,B20/SUM($B$20,$B$21,$B$22)*100)</f>
        <v>28.28282828282828</v>
      </c>
      <c r="D20" s="229"/>
      <c r="E20" s="15"/>
    </row>
    <row r="21" spans="1:7">
      <c r="A21" s="171" t="s">
        <v>73</v>
      </c>
      <c r="B21" s="37">
        <f>aantalw2001_elektriciteit</f>
        <v>404</v>
      </c>
      <c r="C21" s="167">
        <f>IF(ISERROR(B21/SUM($B$20,$B$21,$B$22)*100),0,B21/SUM($B$20,$B$21,$B$22)*100)</f>
        <v>45.342312008978674</v>
      </c>
      <c r="D21" s="229"/>
      <c r="E21" s="15"/>
    </row>
    <row r="22" spans="1:7">
      <c r="A22" s="171" t="s">
        <v>74</v>
      </c>
      <c r="B22" s="37">
        <f>aantalw2001_hout</f>
        <v>235</v>
      </c>
      <c r="C22" s="167">
        <f>IF(ISERROR(B22/SUM($B$20,$B$21,$B$22)*100),0,B22/SUM($B$20,$B$21,$B$22)*100)</f>
        <v>26.374859708193043</v>
      </c>
      <c r="D22" s="229"/>
      <c r="E22" s="15"/>
    </row>
    <row r="23" spans="1:7">
      <c r="A23" s="171" t="s">
        <v>75</v>
      </c>
      <c r="B23" s="37">
        <f>aantalw2001_niet_gespec</f>
        <v>124</v>
      </c>
      <c r="C23" s="166" t="s">
        <v>110</v>
      </c>
      <c r="D23" s="228"/>
      <c r="E23" s="15"/>
    </row>
    <row r="24" spans="1:7">
      <c r="A24" s="171" t="s">
        <v>76</v>
      </c>
      <c r="B24" s="37">
        <f>aantalw2001_steenkool</f>
        <v>575</v>
      </c>
      <c r="C24" s="166" t="s">
        <v>110</v>
      </c>
      <c r="D24" s="229"/>
      <c r="E24" s="15"/>
    </row>
    <row r="25" spans="1:7">
      <c r="A25" s="171" t="s">
        <v>77</v>
      </c>
      <c r="B25" s="37">
        <f>aantalw2001_stookolie</f>
        <v>2396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8173</v>
      </c>
      <c r="C28" s="36"/>
      <c r="D28" s="228"/>
    </row>
    <row r="29" spans="1:7" s="15" customFormat="1">
      <c r="A29" s="230" t="s">
        <v>737</v>
      </c>
      <c r="B29" s="37">
        <f>SUM(HH_hh_gas_aantal,HH_rest_gas_aantal)</f>
        <v>5210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5210</v>
      </c>
      <c r="C32" s="167">
        <f>IF(ISERROR(B32/SUM($B$32,$B$34,$B$35,$B$36,$B$38,$B$39)*100),0,B32/SUM($B$32,$B$34,$B$35,$B$36,$B$38,$B$39)*100)</f>
        <v>63.965623081645184</v>
      </c>
      <c r="D32" s="233"/>
      <c r="G32" s="15"/>
    </row>
    <row r="33" spans="1:7">
      <c r="A33" s="171" t="s">
        <v>71</v>
      </c>
      <c r="B33" s="34" t="s">
        <v>110</v>
      </c>
      <c r="C33" s="167"/>
      <c r="D33" s="233"/>
      <c r="G33" s="15"/>
    </row>
    <row r="34" spans="1:7">
      <c r="A34" s="171" t="s">
        <v>72</v>
      </c>
      <c r="B34" s="33">
        <f>IF((($B$28-$B$32-$B$39-$B$77-$B$38)*C20/100)&lt;0,0,($B$28-$B$32-$B$39-$B$77-$B$38)*C20/100)</f>
        <v>502.02020202020196</v>
      </c>
      <c r="C34" s="167">
        <f>IF(ISERROR(B34/SUM($B$32,$B$34,$B$35,$B$36,$B$38,$B$39)*100),0,B34/SUM($B$32,$B$34,$B$35,$B$36,$B$38,$B$39)*100)</f>
        <v>6.1635383918993485</v>
      </c>
      <c r="D34" s="233"/>
      <c r="G34" s="15"/>
    </row>
    <row r="35" spans="1:7">
      <c r="A35" s="171" t="s">
        <v>73</v>
      </c>
      <c r="B35" s="33">
        <f>IF((($B$28-$B$32-$B$39-$B$77-$B$38)*C21/100)&lt;0,0,($B$28-$B$32-$B$39-$B$77-$B$38)*C21/100)</f>
        <v>804.82603815937136</v>
      </c>
      <c r="C35" s="167">
        <f>IF(ISERROR(B35/SUM($B$32,$B$34,$B$35,$B$36,$B$38,$B$39)*100),0,B35/SUM($B$32,$B$34,$B$35,$B$36,$B$38,$B$39)*100)</f>
        <v>9.8812282155846702</v>
      </c>
      <c r="D35" s="233"/>
      <c r="G35" s="15"/>
    </row>
    <row r="36" spans="1:7">
      <c r="A36" s="171" t="s">
        <v>74</v>
      </c>
      <c r="B36" s="33">
        <f>IF((($B$28-$B$32-$B$39-$B$77-$B$38)*C22/100)&lt;0,0,($B$28-$B$32-$B$39-$B$77-$B$38)*C22/100)</f>
        <v>468.1537598204265</v>
      </c>
      <c r="C36" s="167">
        <f>IF(ISERROR(B36/SUM($B$32,$B$34,$B$35,$B$36,$B$38,$B$39)*100),0,B36/SUM($B$32,$B$34,$B$35,$B$36,$B$38,$B$39)*100)</f>
        <v>5.7477441353029652</v>
      </c>
      <c r="D36" s="233"/>
      <c r="G36" s="15"/>
    </row>
    <row r="37" spans="1:7">
      <c r="A37" s="171" t="s">
        <v>75</v>
      </c>
      <c r="B37" s="34" t="s">
        <v>110</v>
      </c>
      <c r="C37" s="167"/>
      <c r="D37" s="173"/>
      <c r="G37" s="15"/>
    </row>
    <row r="38" spans="1:7">
      <c r="A38" s="171" t="s">
        <v>76</v>
      </c>
      <c r="B38" s="33">
        <f>IF((B24-(B29-B18)*0.1)&lt;0,0,B24-(B29-B18)*0.1)</f>
        <v>393.9</v>
      </c>
      <c r="C38" s="167">
        <f>IF(ISERROR(B38/SUM($B$32,$B$34,$B$35,$B$36,$B$38,$B$39)*100),0,B38/SUM($B$32,$B$34,$B$35,$B$36,$B$38,$B$39)*100)</f>
        <v>4.8360957642725602</v>
      </c>
      <c r="D38" s="234"/>
      <c r="G38" s="15"/>
    </row>
    <row r="39" spans="1:7">
      <c r="A39" s="171" t="s">
        <v>77</v>
      </c>
      <c r="B39" s="33">
        <f>IF((B25-(B29-B18))&lt;0,0,B25-(B29-B18)*0.9)</f>
        <v>766.09999999999991</v>
      </c>
      <c r="C39" s="167">
        <f>IF(ISERROR(B39/SUM($B$32,$B$34,$B$35,$B$36,$B$38,$B$39)*100),0,B39/SUM($B$32,$B$34,$B$35,$B$36,$B$38,$B$39)*100)</f>
        <v>9.405770411295272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5210</v>
      </c>
      <c r="C44" s="34" t="s">
        <v>110</v>
      </c>
      <c r="D44" s="174"/>
    </row>
    <row r="45" spans="1:7">
      <c r="A45" s="171" t="s">
        <v>71</v>
      </c>
      <c r="B45" s="33" t="str">
        <f t="shared" si="0"/>
        <v>-</v>
      </c>
      <c r="C45" s="34" t="s">
        <v>110</v>
      </c>
      <c r="D45" s="174"/>
    </row>
    <row r="46" spans="1:7">
      <c r="A46" s="171" t="s">
        <v>72</v>
      </c>
      <c r="B46" s="33">
        <f t="shared" si="0"/>
        <v>502.02020202020196</v>
      </c>
      <c r="C46" s="34" t="s">
        <v>110</v>
      </c>
      <c r="D46" s="174"/>
    </row>
    <row r="47" spans="1:7">
      <c r="A47" s="171" t="s">
        <v>73</v>
      </c>
      <c r="B47" s="33">
        <f t="shared" si="0"/>
        <v>804.82603815937136</v>
      </c>
      <c r="C47" s="34" t="s">
        <v>110</v>
      </c>
      <c r="D47" s="174"/>
    </row>
    <row r="48" spans="1:7">
      <c r="A48" s="171" t="s">
        <v>74</v>
      </c>
      <c r="B48" s="33">
        <f t="shared" si="0"/>
        <v>468.1537598204265</v>
      </c>
      <c r="C48" s="33">
        <f>B48*10</f>
        <v>4681.5375982042651</v>
      </c>
      <c r="D48" s="234"/>
    </row>
    <row r="49" spans="1:6">
      <c r="A49" s="171" t="s">
        <v>75</v>
      </c>
      <c r="B49" s="33" t="str">
        <f t="shared" si="0"/>
        <v>-</v>
      </c>
      <c r="C49" s="34" t="s">
        <v>110</v>
      </c>
      <c r="D49" s="234"/>
    </row>
    <row r="50" spans="1:6">
      <c r="A50" s="171" t="s">
        <v>76</v>
      </c>
      <c r="B50" s="33">
        <f t="shared" si="0"/>
        <v>393.9</v>
      </c>
      <c r="C50" s="33">
        <f>B50*2</f>
        <v>787.8</v>
      </c>
      <c r="D50" s="234"/>
    </row>
    <row r="51" spans="1:6">
      <c r="A51" s="171" t="s">
        <v>77</v>
      </c>
      <c r="B51" s="33">
        <f t="shared" si="0"/>
        <v>766.09999999999991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28</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20379.946199999998</v>
      </c>
      <c r="C5" s="17">
        <f>IF(ISERROR('Eigen informatie GS &amp; warmtenet'!B58),0,'Eigen informatie GS &amp; warmtenet'!B58)</f>
        <v>0</v>
      </c>
      <c r="D5" s="30">
        <f>SUM(D6:D12)</f>
        <v>24896.407732111897</v>
      </c>
      <c r="E5" s="17">
        <f>SUM(E6:E12)</f>
        <v>266.83390226943681</v>
      </c>
      <c r="F5" s="17">
        <f>SUM(F6:F12)</f>
        <v>3151.0829159891027</v>
      </c>
      <c r="G5" s="18"/>
      <c r="H5" s="17"/>
      <c r="I5" s="17"/>
      <c r="J5" s="17">
        <f>SUM(J6:J12)</f>
        <v>0</v>
      </c>
      <c r="K5" s="17"/>
      <c r="L5" s="17"/>
      <c r="M5" s="17"/>
      <c r="N5" s="17">
        <f>SUM(N6:N12)</f>
        <v>1636.1209441908397</v>
      </c>
      <c r="O5" s="17">
        <f>B38*B39*B40</f>
        <v>4.6900000000000004</v>
      </c>
      <c r="P5" s="17">
        <f>B46*B47*B48/1000-B46*B47*B48/1000/B49</f>
        <v>57.2</v>
      </c>
      <c r="R5" s="32"/>
    </row>
    <row r="6" spans="1:18">
      <c r="A6" s="32" t="s">
        <v>53</v>
      </c>
      <c r="B6" s="37">
        <f>B26</f>
        <v>3657.1979999999999</v>
      </c>
      <c r="C6" s="33"/>
      <c r="D6" s="37">
        <f>IF(ISERROR(TER_kantoor_gas_kWh/1000),0,TER_kantoor_gas_kWh/1000)*0.902</f>
        <v>3598.5995217328305</v>
      </c>
      <c r="E6" s="33">
        <f>$C$26*'E Balans VL '!I12/100/3.6*1000000</f>
        <v>10.595439193030671</v>
      </c>
      <c r="F6" s="33">
        <f>$C$26*('E Balans VL '!L12+'E Balans VL '!N12)/100/3.6*1000000</f>
        <v>413.91423928094417</v>
      </c>
      <c r="G6" s="34"/>
      <c r="H6" s="33"/>
      <c r="I6" s="33"/>
      <c r="J6" s="33">
        <f>$C$26*('E Balans VL '!D12+'E Balans VL '!E12)/100/3.6*1000000</f>
        <v>0</v>
      </c>
      <c r="K6" s="33"/>
      <c r="L6" s="33"/>
      <c r="M6" s="33"/>
      <c r="N6" s="33">
        <f>$C$26*'E Balans VL '!Y12/100/3.6*1000000</f>
        <v>36.605857236196613</v>
      </c>
      <c r="O6" s="33"/>
      <c r="P6" s="33"/>
      <c r="R6" s="32"/>
    </row>
    <row r="7" spans="1:18">
      <c r="A7" s="32" t="s">
        <v>52</v>
      </c>
      <c r="B7" s="37">
        <f t="shared" ref="B7:B12" si="0">B27</f>
        <v>3594.1579999999999</v>
      </c>
      <c r="C7" s="33"/>
      <c r="D7" s="37">
        <f>IF(ISERROR(TER_horeca_gas_kWh/1000),0,TER_horeca_gas_kWh/1000)*0.902</f>
        <v>4392.1038984525521</v>
      </c>
      <c r="E7" s="33">
        <f>$C$27*'E Balans VL '!I9/100/3.6*1000000</f>
        <v>150.87271096101401</v>
      </c>
      <c r="F7" s="33">
        <f>$C$27*('E Balans VL '!L9+'E Balans VL '!N9)/100/3.6*1000000</f>
        <v>772.27855145155831</v>
      </c>
      <c r="G7" s="34"/>
      <c r="H7" s="33"/>
      <c r="I7" s="33"/>
      <c r="J7" s="33">
        <f>$C$27*('E Balans VL '!D9+'E Balans VL '!E9)/100/3.6*1000000</f>
        <v>0</v>
      </c>
      <c r="K7" s="33"/>
      <c r="L7" s="33"/>
      <c r="M7" s="33"/>
      <c r="N7" s="33">
        <f>$C$27*'E Balans VL '!Y9/100/3.6*1000000</f>
        <v>0.92618308454801956</v>
      </c>
      <c r="O7" s="33"/>
      <c r="P7" s="33"/>
      <c r="R7" s="32"/>
    </row>
    <row r="8" spans="1:18">
      <c r="A8" s="6" t="s">
        <v>51</v>
      </c>
      <c r="B8" s="37">
        <f t="shared" si="0"/>
        <v>5892.4179999999997</v>
      </c>
      <c r="C8" s="33"/>
      <c r="D8" s="37">
        <f>IF(ISERROR(TER_handel_gas_kWh/1000),0,TER_handel_gas_kWh/1000)*0.902</f>
        <v>3674.8054942500285</v>
      </c>
      <c r="E8" s="33">
        <f>$C$28*'E Balans VL '!I13/100/3.6*1000000</f>
        <v>63.289473440093985</v>
      </c>
      <c r="F8" s="33">
        <f>$C$28*('E Balans VL '!L13+'E Balans VL '!N13)/100/3.6*1000000</f>
        <v>762.82216868475712</v>
      </c>
      <c r="G8" s="34"/>
      <c r="H8" s="33"/>
      <c r="I8" s="33"/>
      <c r="J8" s="33">
        <f>$C$28*('E Balans VL '!D13+'E Balans VL '!E13)/100/3.6*1000000</f>
        <v>0</v>
      </c>
      <c r="K8" s="33"/>
      <c r="L8" s="33"/>
      <c r="M8" s="33"/>
      <c r="N8" s="33">
        <f>$C$28*'E Balans VL '!Y13/100/3.6*1000000</f>
        <v>47.799616556011891</v>
      </c>
      <c r="O8" s="33"/>
      <c r="P8" s="33"/>
      <c r="R8" s="32"/>
    </row>
    <row r="9" spans="1:18">
      <c r="A9" s="32" t="s">
        <v>50</v>
      </c>
      <c r="B9" s="37">
        <f t="shared" si="0"/>
        <v>1316.942</v>
      </c>
      <c r="C9" s="33"/>
      <c r="D9" s="37">
        <f>IF(ISERROR(TER_gezond_gas_kWh/1000),0,TER_gezond_gas_kWh/1000)*0.902</f>
        <v>1926.3054386159197</v>
      </c>
      <c r="E9" s="33">
        <f>$C$29*'E Balans VL '!I10/100/3.6*1000000</f>
        <v>1.0483710095265866</v>
      </c>
      <c r="F9" s="33">
        <f>$C$29*('E Balans VL '!L10+'E Balans VL '!N10)/100/3.6*1000000</f>
        <v>160.09333162607726</v>
      </c>
      <c r="G9" s="34"/>
      <c r="H9" s="33"/>
      <c r="I9" s="33"/>
      <c r="J9" s="33">
        <f>$C$29*('E Balans VL '!D10+'E Balans VL '!E10)/100/3.6*1000000</f>
        <v>0</v>
      </c>
      <c r="K9" s="33"/>
      <c r="L9" s="33"/>
      <c r="M9" s="33"/>
      <c r="N9" s="33">
        <f>$C$29*'E Balans VL '!Y10/100/3.6*1000000</f>
        <v>10.63790857514118</v>
      </c>
      <c r="O9" s="33"/>
      <c r="P9" s="33"/>
      <c r="R9" s="32"/>
    </row>
    <row r="10" spans="1:18">
      <c r="A10" s="32" t="s">
        <v>49</v>
      </c>
      <c r="B10" s="37">
        <f t="shared" si="0"/>
        <v>1718.5640000000001</v>
      </c>
      <c r="C10" s="33"/>
      <c r="D10" s="37">
        <f>IF(ISERROR(TER_ander_gas_kWh/1000),0,TER_ander_gas_kWh/1000)*0.902</f>
        <v>2209.7856014600429</v>
      </c>
      <c r="E10" s="33">
        <f>$C$30*'E Balans VL '!I14/100/3.6*1000000</f>
        <v>5.8896091097797045</v>
      </c>
      <c r="F10" s="33">
        <f>$C$30*('E Balans VL '!L14+'E Balans VL '!N14)/100/3.6*1000000</f>
        <v>383.85736338526624</v>
      </c>
      <c r="G10" s="34"/>
      <c r="H10" s="33"/>
      <c r="I10" s="33"/>
      <c r="J10" s="33">
        <f>$C$30*('E Balans VL '!D14+'E Balans VL '!E14)/100/3.6*1000000</f>
        <v>0</v>
      </c>
      <c r="K10" s="33"/>
      <c r="L10" s="33"/>
      <c r="M10" s="33"/>
      <c r="N10" s="33">
        <f>$C$30*'E Balans VL '!Y14/100/3.6*1000000</f>
        <v>1210.5658699316157</v>
      </c>
      <c r="O10" s="33"/>
      <c r="P10" s="33"/>
      <c r="R10" s="32"/>
    </row>
    <row r="11" spans="1:18">
      <c r="A11" s="32" t="s">
        <v>54</v>
      </c>
      <c r="B11" s="37">
        <f t="shared" si="0"/>
        <v>340.19120000000004</v>
      </c>
      <c r="C11" s="33"/>
      <c r="D11" s="37">
        <f>IF(ISERROR(TER_onderwijs_gas_kWh/1000),0,TER_onderwijs_gas_kWh/1000)*0.902</f>
        <v>301.72081921252766</v>
      </c>
      <c r="E11" s="33">
        <f>$C$31*'E Balans VL '!I11/100/3.6*1000000</f>
        <v>0.23516369949559801</v>
      </c>
      <c r="F11" s="33">
        <f>$C$31*('E Balans VL '!L11+'E Balans VL '!N11)/100/3.6*1000000</f>
        <v>89.052174276141926</v>
      </c>
      <c r="G11" s="34"/>
      <c r="H11" s="33"/>
      <c r="I11" s="33"/>
      <c r="J11" s="33">
        <f>$C$31*('E Balans VL '!D11+'E Balans VL '!E11)/100/3.6*1000000</f>
        <v>0</v>
      </c>
      <c r="K11" s="33"/>
      <c r="L11" s="33"/>
      <c r="M11" s="33"/>
      <c r="N11" s="33">
        <f>$C$31*'E Balans VL '!Y11/100/3.6*1000000</f>
        <v>0.33863136437389102</v>
      </c>
      <c r="O11" s="33"/>
      <c r="P11" s="33"/>
      <c r="R11" s="32"/>
    </row>
    <row r="12" spans="1:18">
      <c r="A12" s="32" t="s">
        <v>259</v>
      </c>
      <c r="B12" s="37">
        <f t="shared" si="0"/>
        <v>3860.4749999999999</v>
      </c>
      <c r="C12" s="33"/>
      <c r="D12" s="37">
        <f>IF(ISERROR(TER_rest_gas_kWh/1000),0,TER_rest_gas_kWh/1000)*0.902</f>
        <v>8793.0869583879939</v>
      </c>
      <c r="E12" s="33">
        <f>$C$32*'E Balans VL '!I8/100/3.6*1000000</f>
        <v>34.903134856496258</v>
      </c>
      <c r="F12" s="33">
        <f>$C$32*('E Balans VL '!L8+'E Balans VL '!N8)/100/3.6*1000000</f>
        <v>569.06508728435733</v>
      </c>
      <c r="G12" s="34"/>
      <c r="H12" s="33"/>
      <c r="I12" s="33"/>
      <c r="J12" s="33">
        <f>$C$32*('E Balans VL '!D8+'E Balans VL '!E8)/100/3.6*1000000</f>
        <v>0</v>
      </c>
      <c r="K12" s="33"/>
      <c r="L12" s="33"/>
      <c r="M12" s="33"/>
      <c r="N12" s="33">
        <f>$C$32*'E Balans VL '!Y8/100/3.6*1000000</f>
        <v>329.24687744295238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20379.946199999998</v>
      </c>
      <c r="C16" s="21">
        <f t="shared" ca="1" si="1"/>
        <v>0</v>
      </c>
      <c r="D16" s="21">
        <f t="shared" ca="1" si="1"/>
        <v>24896.407732111897</v>
      </c>
      <c r="E16" s="21">
        <f t="shared" si="1"/>
        <v>266.83390226943681</v>
      </c>
      <c r="F16" s="21">
        <f t="shared" ca="1" si="1"/>
        <v>3151.0829159891027</v>
      </c>
      <c r="G16" s="21">
        <f t="shared" si="1"/>
        <v>0</v>
      </c>
      <c r="H16" s="21">
        <f t="shared" si="1"/>
        <v>0</v>
      </c>
      <c r="I16" s="21">
        <f t="shared" si="1"/>
        <v>0</v>
      </c>
      <c r="J16" s="21">
        <f t="shared" si="1"/>
        <v>0</v>
      </c>
      <c r="K16" s="21">
        <f t="shared" si="1"/>
        <v>0</v>
      </c>
      <c r="L16" s="21">
        <f t="shared" ca="1" si="1"/>
        <v>0</v>
      </c>
      <c r="M16" s="21">
        <f t="shared" si="1"/>
        <v>0</v>
      </c>
      <c r="N16" s="21">
        <f t="shared" ca="1" si="1"/>
        <v>1636.1209441908397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0.1699708317892672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3463.9964074345148</v>
      </c>
      <c r="C20" s="23">
        <f t="shared" ref="C20:P20" ca="1" si="2">C16*C18</f>
        <v>0</v>
      </c>
      <c r="D20" s="23">
        <f t="shared" ca="1" si="2"/>
        <v>5029.0743618866036</v>
      </c>
      <c r="E20" s="23">
        <f t="shared" si="2"/>
        <v>60.571295815162159</v>
      </c>
      <c r="F20" s="23">
        <f t="shared" ca="1" si="2"/>
        <v>841.33913856909044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3657.1979999999999</v>
      </c>
      <c r="C26" s="39">
        <f>IF(ISERROR(B26*3.6/1000000/'E Balans VL '!Z12*100),0,B26*3.6/1000000/'E Balans VL '!Z12*100)</f>
        <v>8.0334582214282718E-2</v>
      </c>
      <c r="D26" s="237" t="s">
        <v>691</v>
      </c>
      <c r="F26" s="6"/>
    </row>
    <row r="27" spans="1:18">
      <c r="A27" s="231" t="s">
        <v>52</v>
      </c>
      <c r="B27" s="33">
        <f>IF(ISERROR(TER_horeca_ele_kWh/1000),0,TER_horeca_ele_kWh/1000)</f>
        <v>3594.1579999999999</v>
      </c>
      <c r="C27" s="39">
        <f>IF(ISERROR(B27*3.6/1000000/'E Balans VL '!Z9*100),0,B27*3.6/1000000/'E Balans VL '!Z9*100)</f>
        <v>0.28882642229009942</v>
      </c>
      <c r="D27" s="237" t="s">
        <v>691</v>
      </c>
      <c r="F27" s="6"/>
    </row>
    <row r="28" spans="1:18">
      <c r="A28" s="171" t="s">
        <v>51</v>
      </c>
      <c r="B28" s="33">
        <f>IF(ISERROR(TER_handel_ele_kWh/1000),0,TER_handel_ele_kWh/1000)</f>
        <v>5892.4179999999997</v>
      </c>
      <c r="C28" s="39">
        <f>IF(ISERROR(B28*3.6/1000000/'E Balans VL '!Z13*100),0,B28*3.6/1000000/'E Balans VL '!Z13*100)</f>
        <v>0.17423468373035217</v>
      </c>
      <c r="D28" s="237" t="s">
        <v>691</v>
      </c>
      <c r="F28" s="6"/>
    </row>
    <row r="29" spans="1:18">
      <c r="A29" s="231" t="s">
        <v>50</v>
      </c>
      <c r="B29" s="33">
        <f>IF(ISERROR(TER_gezond_ele_kWh/1000),0,TER_gezond_ele_kWh/1000)</f>
        <v>1316.942</v>
      </c>
      <c r="C29" s="39">
        <f>IF(ISERROR(B29*3.6/1000000/'E Balans VL '!Z10*100),0,B29*3.6/1000000/'E Balans VL '!Z10*100)</f>
        <v>0.14838536295470683</v>
      </c>
      <c r="D29" s="237" t="s">
        <v>691</v>
      </c>
      <c r="F29" s="6"/>
    </row>
    <row r="30" spans="1:18">
      <c r="A30" s="231" t="s">
        <v>49</v>
      </c>
      <c r="B30" s="33">
        <f>IF(ISERROR(TER_ander_ele_kWh/1000),0,TER_ander_ele_kWh/1000)</f>
        <v>1718.5640000000001</v>
      </c>
      <c r="C30" s="39">
        <f>IF(ISERROR(B30*3.6/1000000/'E Balans VL '!Z14*100),0,B30*3.6/1000000/'E Balans VL '!Z14*100)</f>
        <v>0.12997205756754049</v>
      </c>
      <c r="D30" s="237" t="s">
        <v>691</v>
      </c>
      <c r="F30" s="6"/>
    </row>
    <row r="31" spans="1:18">
      <c r="A31" s="231" t="s">
        <v>54</v>
      </c>
      <c r="B31" s="33">
        <f>IF(ISERROR(TER_onderwijs_ele_kWh/1000),0,TER_onderwijs_ele_kWh/1000)</f>
        <v>340.19120000000004</v>
      </c>
      <c r="C31" s="39">
        <f>IF(ISERROR(B31*3.6/1000000/'E Balans VL '!Z11*100),0,B31*3.6/1000000/'E Balans VL '!Z11*100)</f>
        <v>7.0615795920322147E-2</v>
      </c>
      <c r="D31" s="237" t="s">
        <v>691</v>
      </c>
    </row>
    <row r="32" spans="1:18">
      <c r="A32" s="231" t="s">
        <v>259</v>
      </c>
      <c r="B32" s="33">
        <f>IF(ISERROR(TER_rest_ele_kWh/1000),0,TER_rest_ele_kWh/1000)</f>
        <v>3860.4749999999999</v>
      </c>
      <c r="C32" s="39">
        <f>IF(ISERROR(B32*3.6/1000000/'E Balans VL '!Z8*100),0,B32*3.6/1000000/'E Balans VL '!Z8*100)</f>
        <v>3.2522230834465475E-2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45125.933199999999</v>
      </c>
      <c r="C5" s="17">
        <f>IF(ISERROR('Eigen informatie GS &amp; warmtenet'!B59),0,'Eigen informatie GS &amp; warmtenet'!B59)</f>
        <v>0</v>
      </c>
      <c r="D5" s="30">
        <f>SUM(D6:D15)</f>
        <v>64152.917937683531</v>
      </c>
      <c r="E5" s="17">
        <f>SUM(E6:E15)</f>
        <v>2933.9735275362918</v>
      </c>
      <c r="F5" s="17">
        <f>SUM(F6:F15)</f>
        <v>13315.559697348719</v>
      </c>
      <c r="G5" s="18"/>
      <c r="H5" s="17"/>
      <c r="I5" s="17"/>
      <c r="J5" s="17">
        <f>SUM(J6:J15)</f>
        <v>184.87416011902135</v>
      </c>
      <c r="K5" s="17"/>
      <c r="L5" s="17"/>
      <c r="M5" s="17"/>
      <c r="N5" s="17">
        <f>SUM(N6:N15)</f>
        <v>2846.2985169382873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1186.4770000000001</v>
      </c>
      <c r="C8" s="33"/>
      <c r="D8" s="37">
        <f>IF( ISERROR(IND_metaal_Gas_kWH/1000),0,IND_metaal_Gas_kWH/1000)*0.902</f>
        <v>1587.6323241949617</v>
      </c>
      <c r="E8" s="33">
        <f>C30*'E Balans VL '!I18/100/3.6*1000000</f>
        <v>29.693366729463239</v>
      </c>
      <c r="F8" s="33">
        <f>C30*'E Balans VL '!L18/100/3.6*1000000+C30*'E Balans VL '!N18/100/3.6*1000000</f>
        <v>371.84779364011763</v>
      </c>
      <c r="G8" s="34"/>
      <c r="H8" s="33"/>
      <c r="I8" s="33"/>
      <c r="J8" s="40">
        <f>C30*'E Balans VL '!D18/100/3.6*1000000+C30*'E Balans VL '!E18/100/3.6*1000000</f>
        <v>0</v>
      </c>
      <c r="K8" s="33"/>
      <c r="L8" s="33"/>
      <c r="M8" s="33"/>
      <c r="N8" s="33">
        <f>C30*'E Balans VL '!Y18/100/3.6*1000000</f>
        <v>29.807381416321245</v>
      </c>
      <c r="O8" s="33"/>
      <c r="P8" s="33"/>
      <c r="R8" s="32"/>
    </row>
    <row r="9" spans="1:18">
      <c r="A9" s="6" t="s">
        <v>32</v>
      </c>
      <c r="B9" s="37">
        <f t="shared" si="0"/>
        <v>3139.558</v>
      </c>
      <c r="C9" s="33"/>
      <c r="D9" s="37">
        <f>IF( ISERROR(IND_andere_gas_kWh/1000),0,IND_andere_gas_kWh/1000)*0.902</f>
        <v>3275.5516399141738</v>
      </c>
      <c r="E9" s="33">
        <f>C31*'E Balans VL '!I19/100/3.6*1000000</f>
        <v>863.24968085408887</v>
      </c>
      <c r="F9" s="33">
        <f>C31*'E Balans VL '!L19/100/3.6*1000000+C31*'E Balans VL '!N19/100/3.6*1000000</f>
        <v>2474.5180263168281</v>
      </c>
      <c r="G9" s="34"/>
      <c r="H9" s="33"/>
      <c r="I9" s="33"/>
      <c r="J9" s="40">
        <f>C31*'E Balans VL '!D19/100/3.6*1000000+C31*'E Balans VL '!E19/100/3.6*1000000</f>
        <v>0</v>
      </c>
      <c r="K9" s="33"/>
      <c r="L9" s="33"/>
      <c r="M9" s="33"/>
      <c r="N9" s="33">
        <f>C31*'E Balans VL '!Y19/100/3.6*1000000</f>
        <v>252.92477088965683</v>
      </c>
      <c r="O9" s="33"/>
      <c r="P9" s="33"/>
      <c r="R9" s="32"/>
    </row>
    <row r="10" spans="1:18">
      <c r="A10" s="6" t="s">
        <v>40</v>
      </c>
      <c r="B10" s="37">
        <f t="shared" si="0"/>
        <v>717.81759999999997</v>
      </c>
      <c r="C10" s="33"/>
      <c r="D10" s="37">
        <f>IF( ISERROR(IND_voed_gas_kWh/1000),0,IND_voed_gas_kWh/1000)*0.902</f>
        <v>621.2751941803632</v>
      </c>
      <c r="E10" s="33">
        <f>C32*'E Balans VL '!I20/100/3.6*1000000</f>
        <v>7.3177549840277241</v>
      </c>
      <c r="F10" s="33">
        <f>C32*'E Balans VL '!L20/100/3.6*1000000+C32*'E Balans VL '!N20/100/3.6*1000000</f>
        <v>1355.9529568842891</v>
      </c>
      <c r="G10" s="34"/>
      <c r="H10" s="33"/>
      <c r="I10" s="33"/>
      <c r="J10" s="40">
        <f>C32*'E Balans VL '!D20/100/3.6*1000000+C32*'E Balans VL '!E20/100/3.6*1000000</f>
        <v>17.179723877820742</v>
      </c>
      <c r="K10" s="33"/>
      <c r="L10" s="33"/>
      <c r="M10" s="33"/>
      <c r="N10" s="33">
        <f>C32*'E Balans VL '!Y20/100/3.6*1000000</f>
        <v>378.37255764870321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110.3926</v>
      </c>
      <c r="C13" s="33"/>
      <c r="D13" s="37">
        <f>IF( ISERROR(IND_papier_gas_kWh/1000),0,IND_papier_gas_kWh/1000)*0.902</f>
        <v>27.853188812436237</v>
      </c>
      <c r="E13" s="33">
        <f>C35*'E Balans VL '!I23/100/3.6*1000000</f>
        <v>0.22863052592107533</v>
      </c>
      <c r="F13" s="33">
        <f>C35*'E Balans VL '!L23/100/3.6*1000000+C35*'E Balans VL '!N23/100/3.6*1000000</f>
        <v>2.1893219209242458</v>
      </c>
      <c r="G13" s="34"/>
      <c r="H13" s="33"/>
      <c r="I13" s="33"/>
      <c r="J13" s="40">
        <f>C35*'E Balans VL '!D23/100/3.6*1000000+C35*'E Balans VL '!E23/100/3.6*1000000</f>
        <v>0</v>
      </c>
      <c r="K13" s="33"/>
      <c r="L13" s="33"/>
      <c r="M13" s="33"/>
      <c r="N13" s="33">
        <f>C35*'E Balans VL '!Y23/100/3.6*1000000</f>
        <v>7.6562847945708583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39971.688000000002</v>
      </c>
      <c r="C15" s="33"/>
      <c r="D15" s="37">
        <f>IF( ISERROR(IND_rest_gas_kWh/1000),0,IND_rest_gas_kWh/1000)*0.902</f>
        <v>58640.605590581596</v>
      </c>
      <c r="E15" s="33">
        <f>C37*'E Balans VL '!I15/100/3.6*1000000</f>
        <v>2033.4840944427908</v>
      </c>
      <c r="F15" s="33">
        <f>C37*'E Balans VL '!L15/100/3.6*1000000+C37*'E Balans VL '!N15/100/3.6*1000000</f>
        <v>9111.0515985865604</v>
      </c>
      <c r="G15" s="34"/>
      <c r="H15" s="33"/>
      <c r="I15" s="33"/>
      <c r="J15" s="40">
        <f>C37*'E Balans VL '!D15/100/3.6*1000000+C37*'E Balans VL '!E15/100/3.6*1000000</f>
        <v>167.69443624120061</v>
      </c>
      <c r="K15" s="33"/>
      <c r="L15" s="33"/>
      <c r="M15" s="33"/>
      <c r="N15" s="33">
        <f>C37*'E Balans VL '!Y15/100/3.6*1000000</f>
        <v>2177.5375221890349</v>
      </c>
      <c r="O15" s="33"/>
      <c r="P15" s="33"/>
      <c r="R15" s="32"/>
    </row>
    <row r="16" spans="1:18">
      <c r="A16" s="16" t="s">
        <v>493</v>
      </c>
      <c r="B16" s="247">
        <f>'lokale energieproductie'!N37+'lokale energieproductie'!N30</f>
        <v>1125</v>
      </c>
      <c r="C16" s="247">
        <f>'lokale energieproductie'!O37+'lokale energieproductie'!O30</f>
        <v>1607.1428571428571</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46250.933199999999</v>
      </c>
      <c r="C18" s="21">
        <f>C5+C16</f>
        <v>1607.1428571428571</v>
      </c>
      <c r="D18" s="21">
        <f>MAX((D5+D16),0)</f>
        <v>64152.917937683531</v>
      </c>
      <c r="E18" s="21">
        <f>MAX((E5+E16),0)</f>
        <v>2933.9735275362918</v>
      </c>
      <c r="F18" s="21">
        <f>MAX((F5+F16),0)</f>
        <v>13315.559697348719</v>
      </c>
      <c r="G18" s="21"/>
      <c r="H18" s="21"/>
      <c r="I18" s="21"/>
      <c r="J18" s="21">
        <f>MAX((J5+J16),0)</f>
        <v>184.87416011902135</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0.1699708317892672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7861.3095870338339</v>
      </c>
      <c r="C22" s="23">
        <f ca="1">C18*C20</f>
        <v>0</v>
      </c>
      <c r="D22" s="23">
        <f>D18*D20</f>
        <v>12958.889423412074</v>
      </c>
      <c r="E22" s="23">
        <f>E18*E20</f>
        <v>666.01199075073828</v>
      </c>
      <c r="F22" s="23">
        <f>F18*F20</f>
        <v>3555.2544391921083</v>
      </c>
      <c r="G22" s="23"/>
      <c r="H22" s="23"/>
      <c r="I22" s="23"/>
      <c r="J22" s="23">
        <f>J18*J20</f>
        <v>65.445452682133549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1186.4770000000001</v>
      </c>
      <c r="C30" s="39">
        <f>IF(ISERROR(B30*3.6/1000000/'E Balans VL '!Z18*100),0,B30*3.6/1000000/'E Balans VL '!Z18*100)</f>
        <v>0.16606724021716696</v>
      </c>
      <c r="D30" s="237" t="s">
        <v>691</v>
      </c>
    </row>
    <row r="31" spans="1:18">
      <c r="A31" s="6" t="s">
        <v>32</v>
      </c>
      <c r="B31" s="37">
        <f>IF( ISERROR(IND_ander_ele_kWh/1000),0,IND_ander_ele_kWh/1000)</f>
        <v>3139.558</v>
      </c>
      <c r="C31" s="39">
        <f>IF(ISERROR(B31*3.6/1000000/'E Balans VL '!Z19*100),0,B31*3.6/1000000/'E Balans VL '!Z19*100)</f>
        <v>0.13741794435133273</v>
      </c>
      <c r="D31" s="237" t="s">
        <v>691</v>
      </c>
    </row>
    <row r="32" spans="1:18">
      <c r="A32" s="171" t="s">
        <v>40</v>
      </c>
      <c r="B32" s="37">
        <f>IF( ISERROR(IND_voed_ele_kWh/1000),0,IND_voed_ele_kWh/1000)</f>
        <v>717.81759999999997</v>
      </c>
      <c r="C32" s="39">
        <f>IF(ISERROR(B32*3.6/1000000/'E Balans VL '!Z20*100),0,B32*3.6/1000000/'E Balans VL '!Z20*100)</f>
        <v>0.17770780021330243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110.3926</v>
      </c>
      <c r="C35" s="39">
        <f>IF(ISERROR(B35*3.6/1000000/'E Balans VL '!Z22*100),0,B35*3.6/1000000/'E Balans VL '!Z22*100)</f>
        <v>3.1324916103972989E-3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39971.688000000002</v>
      </c>
      <c r="C37" s="39">
        <f>IF(ISERROR(B37*3.6/1000000/'E Balans VL '!Z15*100),0,B37*3.6/1000000/'E Balans VL '!Z15*100)</f>
        <v>0.29638322307742421</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9302.8564999999999</v>
      </c>
      <c r="C5" s="17">
        <f>'Eigen informatie GS &amp; warmtenet'!B60</f>
        <v>0</v>
      </c>
      <c r="D5" s="30">
        <f>IF(ISERROR(SUM(LB_lb_gas_kWh,LB_rest_gas_kWh)/1000),0,SUM(LB_lb_gas_kWh,LB_rest_gas_kWh)/1000)*0.902</f>
        <v>431.22653901980215</v>
      </c>
      <c r="E5" s="17">
        <f>B17*'E Balans VL '!I25/3.6*1000000/100</f>
        <v>86.166953297466264</v>
      </c>
      <c r="F5" s="17">
        <f>B17*('E Balans VL '!L25/3.6*1000000+'E Balans VL '!N25/3.6*1000000)/100</f>
        <v>23603.119132844593</v>
      </c>
      <c r="G5" s="18"/>
      <c r="H5" s="17"/>
      <c r="I5" s="17"/>
      <c r="J5" s="17">
        <f>('E Balans VL '!D25+'E Balans VL '!E25)/3.6*1000000*landbouw!B17/100</f>
        <v>1426.2317216315489</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9302.8564999999999</v>
      </c>
      <c r="C8" s="21">
        <f>C5+C6</f>
        <v>0</v>
      </c>
      <c r="D8" s="21">
        <f>MAX((D5+D6),0)</f>
        <v>431.22653901980215</v>
      </c>
      <c r="E8" s="21">
        <f>MAX((E5+E6),0)</f>
        <v>86.166953297466264</v>
      </c>
      <c r="F8" s="21">
        <f>MAX((F5+F6),0)</f>
        <v>23603.119132844593</v>
      </c>
      <c r="G8" s="21"/>
      <c r="H8" s="21"/>
      <c r="I8" s="21"/>
      <c r="J8" s="21">
        <f>MAX((J5+J6),0)</f>
        <v>1426.2317216315489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0.1699708317892672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1581.2142573211909</v>
      </c>
      <c r="C12" s="23">
        <f ca="1">C8*C10</f>
        <v>0</v>
      </c>
      <c r="D12" s="23">
        <f>D8*D10</f>
        <v>87.107760882000036</v>
      </c>
      <c r="E12" s="23">
        <f>E8*E10</f>
        <v>19.559898398524844</v>
      </c>
      <c r="F12" s="23">
        <f>F8*F10</f>
        <v>6302.0328084695066</v>
      </c>
      <c r="G12" s="23"/>
      <c r="H12" s="23"/>
      <c r="I12" s="23"/>
      <c r="J12" s="23">
        <f>J8*J10</f>
        <v>504.88602945756827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1.3226689396469167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1225.5919887533355</v>
      </c>
      <c r="C26" s="247">
        <f>B26*'GWP N2O_CH4'!B5</f>
        <v>25737.431763820045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866.58844191266905</v>
      </c>
      <c r="C27" s="247">
        <f>B27*'GWP N2O_CH4'!B5</f>
        <v>18198.357280166048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17.71927599959475</v>
      </c>
      <c r="C28" s="247">
        <f>B28*'GWP N2O_CH4'!B4</f>
        <v>5492.9755598743723</v>
      </c>
      <c r="D28" s="50"/>
    </row>
    <row r="29" spans="1:4">
      <c r="A29" s="41" t="s">
        <v>276</v>
      </c>
      <c r="B29" s="247">
        <f>B34*'ha_N2O bodem landbouw'!B4</f>
        <v>63.444040022496594</v>
      </c>
      <c r="C29" s="247">
        <f>B29*'GWP N2O_CH4'!B4</f>
        <v>19667.652406973943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1.4229380463702014E-2</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3.0989360789701599E-5</v>
      </c>
      <c r="C5" s="438" t="s">
        <v>210</v>
      </c>
      <c r="D5" s="423">
        <f>SUM(D6:D11)</f>
        <v>6.5006515594627439E-5</v>
      </c>
      <c r="E5" s="423">
        <f>SUM(E6:E11)</f>
        <v>6.1596815996969834E-4</v>
      </c>
      <c r="F5" s="436" t="s">
        <v>210</v>
      </c>
      <c r="G5" s="423">
        <f>SUM(G6:G11)</f>
        <v>0.23453678695694044</v>
      </c>
      <c r="H5" s="423">
        <f>SUM(H6:H11)</f>
        <v>3.9257052704798831E-2</v>
      </c>
      <c r="I5" s="438" t="s">
        <v>210</v>
      </c>
      <c r="J5" s="438" t="s">
        <v>210</v>
      </c>
      <c r="K5" s="438" t="s">
        <v>210</v>
      </c>
      <c r="L5" s="438" t="s">
        <v>210</v>
      </c>
      <c r="M5" s="423">
        <f>SUM(M6:M11)</f>
        <v>1.4795227317100638E-2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2.2196141339146999E-5</v>
      </c>
      <c r="C6" s="424"/>
      <c r="D6" s="866">
        <f>vkm_GW_PW*SUMIFS(TableVerdeelsleutelVkm[CNG],TableVerdeelsleutelVkm[Voertuigtype],"Lichte voertuigen")*SUMIFS(TableECFTransport[EnergieConsumptieFactor (PJ per km)],TableECFTransport[Index],CONCATENATE($A6,"_CNG_CNG"))</f>
        <v>3.8731922315706318E-5</v>
      </c>
      <c r="E6" s="866">
        <f>vkm_GW_PW*SUMIFS(TableVerdeelsleutelVkm[LPG],TableVerdeelsleutelVkm[Voertuigtype],"Lichte voertuigen")*SUMIFS(TableECFTransport[EnergieConsumptieFactor (PJ per km)],TableECFTransport[Index],CONCATENATE($A6,"_LPG_LPG"))</f>
        <v>3.7513770716513824E-4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8.8163816153208827E-2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2.3719206026023582E-2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5.8349908137292688E-3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7.9581153566596646E-2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1.5433315248172281E-6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4.6139353700230656E-3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8.7932194505545999E-6</v>
      </c>
      <c r="C8" s="424"/>
      <c r="D8" s="426">
        <f>vkm_NGW_PW*SUMIFS(TableVerdeelsleutelVkm[CNG],TableVerdeelsleutelVkm[Voertuigtype],"Lichte voertuigen")*SUMIFS(TableECFTransport[EnergieConsumptieFactor (PJ per km)],TableECFTransport[Index],CONCATENATE($A8,"_CNG_CNG"))</f>
        <v>2.6274593278921124E-5</v>
      </c>
      <c r="E8" s="426">
        <f>vkm_NGW_PW*SUMIFS(TableVerdeelsleutelVkm[LPG],TableVerdeelsleutelVkm[Voertuigtype],"Lichte voertuigen")*SUMIFS(TableECFTransport[EnergieConsumptieFactor (PJ per km)],TableECFTransport[Index],CONCATENATE($A8,"_LPG_LPG"))</f>
        <v>2.4083045280456008E-4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5.3127632301155511E-2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1.5535975109123558E-2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3.5540806529922543E-3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1.3664184935979469E-2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3.2823812687542471E-7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7.9222048035605067E-4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8.6081557749171118</v>
      </c>
      <c r="C14" s="21"/>
      <c r="D14" s="21">
        <f t="shared" ref="D14:M14" si="0">((D5)*10^9/3600)+D12</f>
        <v>18.057365442952065</v>
      </c>
      <c r="E14" s="21">
        <f t="shared" si="0"/>
        <v>171.10226665824953</v>
      </c>
      <c r="F14" s="21"/>
      <c r="G14" s="21">
        <f t="shared" si="0"/>
        <v>65149.107488039015</v>
      </c>
      <c r="H14" s="21">
        <f t="shared" si="0"/>
        <v>10904.736862444121</v>
      </c>
      <c r="I14" s="21"/>
      <c r="J14" s="21"/>
      <c r="K14" s="21"/>
      <c r="L14" s="21"/>
      <c r="M14" s="21">
        <f t="shared" si="0"/>
        <v>4109.7853658612885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0.1699708317892672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1.4631353972342453</v>
      </c>
      <c r="C18" s="23"/>
      <c r="D18" s="23">
        <f t="shared" ref="D18:M18" si="1">D14*D16</f>
        <v>3.6475878194763176</v>
      </c>
      <c r="E18" s="23">
        <f t="shared" si="1"/>
        <v>38.840214531422646</v>
      </c>
      <c r="F18" s="23"/>
      <c r="G18" s="23">
        <f t="shared" si="1"/>
        <v>17394.811699306418</v>
      </c>
      <c r="H18" s="23">
        <f t="shared" si="1"/>
        <v>2715.2794787485859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2.329610662151497E-3</v>
      </c>
      <c r="H50" s="319">
        <f t="shared" si="2"/>
        <v>0</v>
      </c>
      <c r="I50" s="319">
        <f t="shared" si="2"/>
        <v>0</v>
      </c>
      <c r="J50" s="319">
        <f t="shared" si="2"/>
        <v>0</v>
      </c>
      <c r="K50" s="319">
        <f t="shared" si="2"/>
        <v>0</v>
      </c>
      <c r="L50" s="319">
        <f t="shared" si="2"/>
        <v>0</v>
      </c>
      <c r="M50" s="319">
        <f t="shared" si="2"/>
        <v>1.3315345479422811E-4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2.329610662151497E-3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1.3315345479422811E-4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647.11407281986021</v>
      </c>
      <c r="H54" s="21">
        <f t="shared" si="3"/>
        <v>0</v>
      </c>
      <c r="I54" s="21">
        <f t="shared" si="3"/>
        <v>0</v>
      </c>
      <c r="J54" s="21">
        <f t="shared" si="3"/>
        <v>0</v>
      </c>
      <c r="K54" s="21">
        <f t="shared" si="3"/>
        <v>0</v>
      </c>
      <c r="L54" s="21">
        <f t="shared" si="3"/>
        <v>0</v>
      </c>
      <c r="M54" s="21">
        <f t="shared" si="3"/>
        <v>36.987070776174477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0.1699708317892672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172.7794574429027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14365.913149339714</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10124.132024434301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1125</v>
      </c>
      <c r="C8" s="545">
        <f>B48</f>
        <v>0</v>
      </c>
      <c r="D8" s="1022"/>
      <c r="E8" s="1022">
        <f>E48</f>
        <v>0</v>
      </c>
      <c r="F8" s="1023"/>
      <c r="G8" s="546"/>
      <c r="H8" s="1022">
        <f>I48</f>
        <v>0</v>
      </c>
      <c r="I8" s="1022">
        <f>G48+F48</f>
        <v>0</v>
      </c>
      <c r="J8" s="1022">
        <f>H48+D48+C48</f>
        <v>1323.5294117647061</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25615.045173774015</v>
      </c>
      <c r="C10" s="558">
        <f t="shared" ref="C10:L10" si="0">SUM(C8:C9)</f>
        <v>0</v>
      </c>
      <c r="D10" s="558">
        <f t="shared" si="0"/>
        <v>0</v>
      </c>
      <c r="E10" s="558">
        <f t="shared" si="0"/>
        <v>0</v>
      </c>
      <c r="F10" s="558">
        <f t="shared" si="0"/>
        <v>0</v>
      </c>
      <c r="G10" s="558">
        <f t="shared" si="0"/>
        <v>0</v>
      </c>
      <c r="H10" s="558">
        <f t="shared" si="0"/>
        <v>0</v>
      </c>
      <c r="I10" s="558">
        <f t="shared" si="0"/>
        <v>0</v>
      </c>
      <c r="J10" s="558">
        <f t="shared" si="0"/>
        <v>1323.5294117647061</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1607.1428571428571</v>
      </c>
      <c r="C17" s="570">
        <f>B49</f>
        <v>0</v>
      </c>
      <c r="D17" s="571"/>
      <c r="E17" s="571">
        <f>E49</f>
        <v>0</v>
      </c>
      <c r="F17" s="1028"/>
      <c r="G17" s="572"/>
      <c r="H17" s="570">
        <f>I49</f>
        <v>0</v>
      </c>
      <c r="I17" s="571">
        <f>G49+F49</f>
        <v>0</v>
      </c>
      <c r="J17" s="571">
        <f>H49+D49+C49</f>
        <v>1890.7563025210086</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1607.1428571428571</v>
      </c>
      <c r="C20" s="557">
        <f>SUM(C17:C19)</f>
        <v>0</v>
      </c>
      <c r="D20" s="557">
        <f t="shared" ref="D20:L20" si="1">SUM(D17:D19)</f>
        <v>0</v>
      </c>
      <c r="E20" s="557">
        <f t="shared" si="1"/>
        <v>0</v>
      </c>
      <c r="F20" s="557">
        <f t="shared" si="1"/>
        <v>0</v>
      </c>
      <c r="G20" s="557">
        <f t="shared" si="1"/>
        <v>0</v>
      </c>
      <c r="H20" s="557">
        <f t="shared" si="1"/>
        <v>0</v>
      </c>
      <c r="I20" s="557">
        <f t="shared" si="1"/>
        <v>0</v>
      </c>
      <c r="J20" s="557">
        <f t="shared" si="1"/>
        <v>1890.7563025210086</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33021</v>
      </c>
      <c r="C28" s="771">
        <v>8972</v>
      </c>
      <c r="D28" s="628" t="s">
        <v>913</v>
      </c>
      <c r="E28" s="627" t="s">
        <v>914</v>
      </c>
      <c r="F28" s="627" t="s">
        <v>915</v>
      </c>
      <c r="G28" s="627" t="s">
        <v>916</v>
      </c>
      <c r="H28" s="627" t="s">
        <v>917</v>
      </c>
      <c r="I28" s="627" t="s">
        <v>914</v>
      </c>
      <c r="J28" s="770">
        <v>40996</v>
      </c>
      <c r="K28" s="770">
        <v>40996</v>
      </c>
      <c r="L28" s="627" t="s">
        <v>918</v>
      </c>
      <c r="M28" s="627">
        <v>250</v>
      </c>
      <c r="N28" s="627">
        <v>1125</v>
      </c>
      <c r="O28" s="627">
        <v>1607.1428571428571</v>
      </c>
      <c r="P28" s="627">
        <v>0</v>
      </c>
      <c r="Q28" s="627">
        <v>3214.2857142857147</v>
      </c>
      <c r="R28" s="627">
        <v>0</v>
      </c>
      <c r="S28" s="627">
        <v>0</v>
      </c>
      <c r="T28" s="627">
        <v>0</v>
      </c>
      <c r="U28" s="627">
        <v>0</v>
      </c>
      <c r="V28" s="627">
        <v>0</v>
      </c>
      <c r="W28" s="627">
        <v>0</v>
      </c>
      <c r="X28" s="627">
        <v>500</v>
      </c>
      <c r="Y28" s="627" t="s">
        <v>40</v>
      </c>
      <c r="Z28" s="629" t="s">
        <v>388</v>
      </c>
    </row>
    <row r="29" spans="1:26" s="565" customFormat="1">
      <c r="A29" s="583" t="s">
        <v>279</v>
      </c>
      <c r="B29" s="584"/>
      <c r="C29" s="584"/>
      <c r="D29" s="584"/>
      <c r="E29" s="584"/>
      <c r="F29" s="584"/>
      <c r="G29" s="584"/>
      <c r="H29" s="584"/>
      <c r="I29" s="584"/>
      <c r="J29" s="584"/>
      <c r="K29" s="584"/>
      <c r="L29" s="585"/>
      <c r="M29" s="585">
        <f>SUM(M28:M28)</f>
        <v>250</v>
      </c>
      <c r="N29" s="585">
        <f>SUM(N28:N28)</f>
        <v>1125</v>
      </c>
      <c r="O29" s="585">
        <f>SUM(O28:O28)</f>
        <v>1607.1428571428571</v>
      </c>
      <c r="P29" s="585">
        <f>SUM(P28:P28)</f>
        <v>0</v>
      </c>
      <c r="Q29" s="585">
        <f>SUM(Q28:Q28)</f>
        <v>3214.2857142857147</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250</v>
      </c>
      <c r="N30" s="585">
        <f>SUMIF($Z$28:$Z$28,"industrie",N28:N28)</f>
        <v>1125</v>
      </c>
      <c r="O30" s="585">
        <f>SUMIF($Z$28:$Z$28,"industrie",O28:O28)</f>
        <v>1607.1428571428571</v>
      </c>
      <c r="P30" s="585">
        <f>SUMIF($Z$28:$Z$28,"industrie",P28:P28)</f>
        <v>0</v>
      </c>
      <c r="Q30" s="585">
        <f>SUMIF($Z$28:$Z$28,"industrie",Q28:Q28)</f>
        <v>3214.2857142857147</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1323.5294117647061</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1890.7563025210086</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2020-06-20T16:07:09Z</dcterms:modified>
</cp:coreProperties>
</file>