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J15" i="16"/>
  <c r="B7" i="48"/>
  <c r="C24" i="14"/>
  <c r="C26" i="14" s="1"/>
  <c r="B4" i="48"/>
  <c r="C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E7" i="48"/>
  <c r="E25" i="48" s="1"/>
  <c r="F24" i="14"/>
  <c r="F26" i="14"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J5" i="48"/>
  <c r="J23" i="48" s="1"/>
  <c r="K10" i="14"/>
  <c r="O33" i="48"/>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J26" i="48" s="1"/>
  <c r="E33" i="48"/>
  <c r="J33" i="48"/>
  <c r="J15" i="48"/>
  <c r="E8" i="48"/>
  <c r="E26" i="48" s="1"/>
  <c r="F13" i="14"/>
  <c r="F16" i="14" s="1"/>
  <c r="F27" i="14" s="1"/>
  <c r="F63" i="14" s="1"/>
  <c r="E15" i="48"/>
  <c r="G33" i="48"/>
  <c r="I22" i="14"/>
  <c r="I27" i="14" s="1"/>
  <c r="I63" i="14" s="1"/>
  <c r="R20" i="14"/>
  <c r="R22" i="14" s="1"/>
  <c r="H27" i="48"/>
  <c r="H33" i="48" s="1"/>
  <c r="H15" i="48"/>
  <c r="O13" i="14"/>
  <c r="N8" i="48"/>
  <c r="N26" i="48" s="1"/>
  <c r="F8" i="48"/>
  <c r="G13" i="14"/>
  <c r="K63" i="14"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<sst xmlns="http://schemas.openxmlformats.org/spreadsheetml/2006/main" count="2443" uniqueCount="919">
  <si>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</si>
  <si>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</si>
  <si>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</si>
  <si>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</si>
  <si>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</si>
  <si>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</si>
  <si>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</si>
  <si>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</si>
  <si>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</si>
  <si>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</si>
  <si>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</si>
  <si>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</si>
  <si>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</si>
  <si>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</si>
  <si>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</si>
  <si>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</si>
  <si>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</si>
  <si>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</si>
  <si>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</si>
  <si>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</si>
  <si>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</si>
  <si>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</si>
  <si>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</si>
  <si>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</si>
  <si>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</si>
  <si>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</si>
  <si>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</si>
  <si>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</si>
  <si>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</si>
  <si>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</si>
  <si>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</si>
  <si>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</si>
  <si>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</si>
  <si>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</si>
  <si>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</si>
  <si>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</si>
  <si>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</si>
  <si>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</si>
  <si>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</si>
  <si>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</si>
  <si>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</si>
  <si>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</si>
  <si>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</si>
  <si>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</si>
  <si>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</si>
  <si>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</si>
  <si>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</si>
  <si>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</si>
  <si>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</si>
  <si>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</si>
  <si>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</si>
  <si>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</si>
  <si>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</si>
  <si>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</si>
  <si>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</si>
  <si>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</si>
  <si>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</si>
  <si>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</si>
  <si>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</si>
  <si>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</si>
  <si>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</si>
  <si>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</si>
  <si>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</si>
  <si>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</si>
  <si>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</si>
  <si>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</si>
  <si>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</si>
  <si>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</si>
  <si>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</si>
  <si>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</si>
  <si>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</si>
  <si>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</si>
  <si>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</si>
  <si>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</si>
  <si>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</si>
  <si>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</si>
  <si>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</si>
  <si>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</si>
  <si>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</si>
  <si>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</si>
  <si>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</si>
  <si>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</si>
  <si>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</si>
  <si>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</si>
  <si>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</si>
  <si>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</si>
  <si>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</si>
  <si>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</si>
  <si>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</si>
  <si>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</si>
  <si>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</si>
  <si>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</si>
  <si>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</si>
  <si>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</si>
  <si>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</si>
  <si>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</si>
  <si>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</si>
  <si>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</si>
  <si>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</si>
  <si>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</si>
  <si>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</si>
  <si>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</si>
  <si>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</si>
  <si>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</si>
  <si>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</si>
  <si>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</si>
  <si>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</si>
  <si>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</si>
  <si>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</si>
  <si>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</si>
  <si>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</si>
  <si>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</si>
  <si>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</si>
  <si>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</si>
  <si>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</si>
  <si>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</si>
  <si>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</si>
  <si>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</si>
  <si>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</si>
  <si>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</si>
  <si>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</si>
  <si>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</si>
  <si>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</si>
  <si>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</si>
  <si>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</si>
  <si>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</si>
  <si>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</si>
  <si>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</si>
  <si>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</si>
  <si>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</si>
  <si>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</si>
  <si>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</si>
  <si>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</si>
  <si>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</si>
  <si>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</si>
  <si>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</si>
  <si>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</si>
  <si>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</si>
  <si>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</si>
  <si>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</si>
  <si>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</si>
  <si>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</si>
  <si>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</si>
  <si>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</si>
  <si>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</si>
  <si>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</si>
  <si>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</si>
  <si>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</si>
  <si>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</si>
  <si>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</si>
  <si>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</si>
  <si>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</si>
  <si>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</si>
  <si>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</si>
  <si>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</si>
  <si>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</si>
  <si>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</si>
  <si>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</si>
  <si>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</si>
  <si>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</si>
  <si>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</si>
  <si>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</si>
  <si>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</si>
  <si>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</si>
  <si>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</si>
  <si>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</si>
  <si>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</si>
  <si>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</si>
  <si>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</si>
  <si>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</si>
  <si>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</si>
  <si>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</si>
  <si>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</si>
  <si>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</si>
  <si>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</si>
  <si>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</si>
  <si>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</si>
  <si>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</si>
  <si>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</si>
  <si>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</si>
  <si>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</si>
  <si>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</si>
  <si>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</si>
  <si>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</si>
  <si>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</si>
  <si>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</si>
  <si>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</si>
  <si>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</si>
  <si>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</si>
  <si>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</si>
  <si>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</si>
  <si>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</si>
  <si>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</si>
  <si>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</si>
  <si>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</si>
  <si>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</si>
  <si>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</si>
  <si>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</si>
  <si>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</si>
  <si>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</si>
  <si>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</si>
  <si>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</si>
  <si>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</si>
  <si>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</si>
  <si>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</si>
  <si>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</si>
  <si>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</si>
  <si>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</si>
  <si>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</si>
  <si>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</si>
  <si>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</si>
  <si>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</si>
  <si>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</si>
  <si>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</si>
  <si>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</si>
  <si>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</si>
  <si>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</si>
  <si>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</si>
  <si>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</si>
  <si>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</si>
  <si>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</si>
  <si>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</si>
  <si>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</si>
  <si>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</si>
  <si>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</si>
  <si>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</si>
  <si>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</si>
  <si>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</si>
  <si>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</si>
  <si>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</si>
  <si>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</si>
  <si>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</si>
  <si>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</si>
  <si>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</si>
  <si>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</si>
  <si>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</si>
  <si>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</si>
  <si>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</si>
  <si>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</si>
  <si>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</si>
  <si>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</si>
  <si>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</si>
  <si>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</si>
  <si>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</si>
  <si>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</si>
  <si>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</si>
  <si>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</si>
  <si>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</si>
  <si>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</si>
  <si>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</si>
  <si>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</si>
  <si>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</si>
  <si>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</si>
  <si>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</si>
  <si>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</si>
  <si>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</si>
  <si>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</si>
  <si>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</si>
  <si>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</si>
  <si>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</si>
  <si>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</si>
  <si>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</si>
  <si>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</si>
  <si>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</si>
  <si>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</si>
  <si>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</si>
  <si>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</si>
  <si>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</si>
  <si>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</si>
  <si>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</si>
  <si>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</si>
  <si>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</si>
  <si>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</si>
  <si>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</si>
  <si>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</si>
  <si>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</si>
  <si>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</si>
  <si>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</si>
  <si>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</si>
  <si>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</si>
  <si>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</si>
  <si>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</si>
  <si>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</si>
  <si>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</si>
  <si>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</si>
  <si>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</si>
  <si>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</si>
  <si>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</si>
  <si>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</si>
  <si>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</si>
  <si>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</si>
  <si>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</si>
  <si>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</si>
  <si>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</si>
  <si>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</si>
  <si>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</si>
  <si>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</si>
  <si>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</si>
  <si>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</si>
  <si>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</si>
  <si>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</si>
  <si>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</si>
  <si>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</si>
  <si>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</si>
  <si>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</si>
  <si>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</si>
  <si>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</si>
  <si>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</si>
  <si>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</si>
  <si>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</si>
  <si>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</si>
  <si>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</si>
  <si>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</si>
  <si>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</si>
  <si>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</si>
  <si>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</si>
  <si>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</si>
  <si>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</si>
  <si>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</si>
  <si>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</si>
  <si>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</si>
  <si>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</si>
  <si>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</si>
  <si>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</si>
  <si>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</si>
  <si>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</si>
  <si>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</si>
  <si>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</si>
  <si>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</si>
  <si>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</si>
  <si>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</si>
  <si>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</si>
  <si>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</si>
  <si>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</si>
  <si>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</si>
  <si>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</si>
  <si>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</si>
  <si>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</si>
  <si>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</si>
  <si>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</si>
  <si>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</si>
  <si>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</si>
  <si>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</si>
  <si>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</si>
  <si>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</si>
  <si>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</si>
  <si>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</si>
  <si>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</si>
  <si>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</si>
  <si>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</si>
  <si>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</si>
  <si>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</si>
  <si>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</si>
  <si>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</si>
  <si>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</si>
  <si>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</si>
  <si>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</si>
  <si>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</si>
  <si>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</si>
  <si>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</si>
  <si>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</si>
  <si>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</si>
  <si>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</si>
  <si>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</si>
  <si>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</si>
  <si>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</si>
  <si>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</si>
  <si>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</si>
  <si>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</si>
  <si>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</si>
  <si>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</si>
  <si>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</si>
  <si>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</si>
  <si>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</si>
  <si>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</si>
  <si>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</si>
  <si>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</si>
  <si>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</si>
  <si>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</si>
  <si>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</si>
  <si>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</si>
  <si>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</si>
  <si>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</si>
  <si>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</si>
  <si>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</si>
  <si>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</si>
  <si>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</si>
  <si>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</si>
  <si>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</si>
  <si>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</si>
  <si>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</si>
  <si>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</si>
  <si>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</si>
  <si>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</si>
  <si>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</si>
  <si>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</si>
  <si>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</si>
  <si>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</si>
  <si>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</si>
  <si>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</si>
  <si>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</si>
  <si>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</si>
  <si>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</si>
  <si>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</si>
  <si>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</si>
  <si>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</si>
  <si>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</si>
  <si>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</si>
  <si>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</si>
  <si>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</si>
  <si>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</si>
  <si>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</si>
  <si>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</si>
  <si>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</si>
  <si>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</si>
  <si>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</si>
  <si>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</si>
  <si>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</si>
  <si>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</si>
  <si>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</si>
  <si>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</si>
  <si>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</si>
  <si>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</si>
  <si>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</si>
  <si>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</si>
  <si>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</si>
  <si>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</si>
  <si>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</si>
  <si>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</si>
  <si>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</si>
  <si>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</si>
  <si>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</si>
  <si>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</si>
  <si>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</si>
  <si>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</si>
  <si>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</si>
  <si>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</si>
  <si>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</si>
  <si>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</si>
  <si>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</si>
  <si>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</si>
  <si>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</si>
  <si>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</si>
  <si>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</si>
  <si>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</si>
  <si>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</si>
  <si>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</si>
  <si>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</si>
  <si>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</si>
  <si>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</si>
  <si>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</si>
  <si>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</si>
  <si>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</si>
  <si>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</si>
  <si>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</si>
  <si>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</si>
  <si>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</si>
  <si>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</si>
  <si>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</si>
  <si>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</si>
  <si>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</si>
  <si>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</si>
  <si>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</si>
  <si>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</si>
  <si>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</si>
  <si>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</si>
  <si>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</si>
  <si>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</si>
  <si>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</si>
  <si>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</si>
  <si>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</si>
  <si>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</si>
  <si>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</si>
  <si>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</si>
  <si>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</si>
  <si>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</si>
  <si>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</si>
  <si>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</si>
  <si>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</si>
  <si>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</si>
  <si>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</si>
  <si>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</si>
  <si>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</si>
  <si>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</si>
  <si>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</si>
  <si>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</si>
  <si>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</si>
  <si>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</si>
  <si>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</si>
  <si>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</si>
  <si>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</si>
  <si>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</si>
  <si>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</si>
  <si>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</si>
  <si>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</si>
  <si>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</si>
  <si>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</si>
  <si>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</si>
  <si>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</si>
  <si>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</si>
  <si>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</si>
  <si>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</si>
  <si>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</si>
  <si>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</si>
  <si>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</si>
  <si>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</si>
  <si>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</si>
  <si>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</si>
  <si>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</si>
  <si>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</si>
  <si>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</si>
  <si>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</si>
  <si>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</si>
  <si>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</si>
  <si>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</si>
  <si>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</si>
  <si>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</si>
  <si>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</si>
  <si>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</si>
  <si>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</si>
  <si>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</si>
  <si>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</si>
  <si>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</si>
  <si>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</si>
  <si>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</si>
  <si>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</si>
  <si>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</si>
  <si>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</si>
  <si>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</si>
  <si>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</si>
  <si>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</si>
  <si>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</si>
  <si>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</si>
  <si>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</si>
  <si>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</si>
  <si>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</si>
  <si>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</si>
  <si>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</si>
  <si>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</si>
  <si>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</si>
  <si>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</si>
  <si>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</si>
  <si>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</si>
  <si>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</si>
  <si>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</si>
  <si>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</si>
  <si>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</si>
  <si>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</si>
  <si>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</si>
  <si>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</si>
  <si>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</si>
  <si>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</si>
  <si>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</si>
  <si>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</si>
  <si>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</si>
  <si>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</si>
  <si>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</si>
  <si>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</si>
  <si>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</si>
  <si>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</si>
  <si>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</si>
  <si>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</si>
  <si>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</si>
  <si>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</si>
  <si>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</si>
  <si>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</si>
  <si>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</si>
  <si>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</si>
  <si>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</si>
  <si>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</si>
  <si>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</si>
  <si>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</si>
  <si>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</si>
  <si>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</si>
  <si>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</si>
  <si>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</si>
  <si>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</si>
  <si>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</si>
  <si>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</si>
  <si>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</si>
  <si>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</si>
  <si>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</si>
  <si>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</si>
  <si>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</si>
  <si>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</si>
  <si>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</si>
  <si>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</si>
  <si>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</si>
  <si>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</si>
  <si>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</si>
  <si>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</si>
  <si>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</si>
  <si>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</si>
  <si>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</si>
  <si>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</si>
  <si>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</si>
  <si>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</si>
  <si>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</si>
  <si>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</si>
  <si>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</si>
  <si>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</si>
  <si>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</si>
  <si>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</si>
  <si>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</si>
  <si>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</si>
  <si>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</si>
  <si>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</si>
  <si>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</si>
  <si>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</si>
  <si>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</si>
  <si>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</si>
  <si>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</si>
  <si>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</si>
  <si>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</si>
  <si>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</si>
  <si>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</si>
  <si>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</si>
  <si>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</si>
  <si>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</si>
  <si>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</si>
  <si>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</si>
  <si>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</si>
  <si>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</si>
  <si>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</si>
  <si>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</si>
  <si>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</si>
  <si>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</si>
  <si>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</si>
  <si>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</si>
  <si>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</si>
  <si>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</si>
  <si>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</si>
  <si>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</si>
  <si>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</si>
  <si>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</si>
  <si>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</si>
  <si>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</si>
  <si>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</si>
  <si>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</si>
  <si>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</si>
  <si>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</si>
  <si>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</si>
  <si>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</si>
  <si>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</si>
  <si>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</si>
  <si>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</si>
  <si>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</si>
  <si>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</si>
  <si>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</si>
  <si>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</si>
  <si>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</si>
  <si>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</si>
  <si>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</si>
  <si>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</si>
  <si>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</si>
  <si>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</si>
  <si>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</si>
  <si>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</si>
  <si>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</si>
  <si>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</si>
  <si>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</si>
  <si>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</si>
  <si>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</si>
  <si>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</si>
  <si>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</si>
  <si>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</si>
  <si>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</si>
  <si>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</si>
  <si>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</si>
  <si>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</si>
  <si>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</si>
  <si>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</si>
  <si>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</si>
  <si>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</si>
  <si>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</si>
  <si>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</si>
  <si>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</si>
  <si>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</si>
  <si>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</si>
  <si>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</si>
  <si>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</si>
  <si>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</si>
  <si>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</si>
  <si>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</si>
  <si>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</si>
  <si>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</si>
  <si>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</si>
  <si>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</si>
  <si>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</si>
  <si>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</si>
  <si>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</si>
  <si>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</si>
  <si>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</si>
  <si>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</si>
  <si>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</si>
  <si>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</si>
  <si>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</si>
  <si>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</si>
  <si>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</si>
  <si>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</si>
  <si>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</si>
  <si>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</si>
  <si>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</si>
  <si>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</si>
  <si>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</si>
  <si>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</si>
  <si>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</si>
  <si>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</si>
  <si>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</si>
  <si>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</si>
  <si>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</si>
  <si>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</si>
  <si>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</si>
  <si>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</si>
  <si>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</si>
  <si>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</si>
  <si>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</si>
  <si>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</si>
  <si>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</si>
  <si>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</si>
  <si>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</si>
  <si>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</si>
  <si>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</si>
  <si>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</si>
  <si>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</si>
  <si>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</si>
  <si>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</si>
  <si>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</si>
  <si>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</si>
  <si>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</si>
  <si>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</si>
  <si>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</si>
  <si>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</si>
  <si>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</si>
  <si>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</si>
  <si>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</si>
  <si>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</si>
  <si>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</si>
  <si>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</si>
  <si>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</si>
  <si>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</si>
  <si>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</si>
  <si>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</si>
  <si>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</si>
  <si>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</si>
  <si>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</si>
  <si>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</si>
  <si>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</si>
  <si>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</si>
  <si>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</si>
  <si>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</si>
  <si>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</si>
  <si>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</si>
  <si>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</si>
  <si>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</si>
  <si>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</si>
  <si>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</si>
  <si>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</si>
  <si>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</si>
  <si>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</si>
  <si>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</si>
  <si>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</si>
  <si>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</si>
  <si>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</si>
  <si>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</si>
  <si>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</si>
  <si>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</si>
  <si>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</si>
  <si>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</si>
  <si>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</si>
  <si>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</si>
  <si>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</si>
  <si>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</si>
  <si>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</si>
  <si>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</si>
  <si>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</si>
  <si>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</si>
  <si>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</si>
  <si>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</si>
  <si>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</si>
  <si>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</si>
  <si>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</si>
  <si>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</si>
  <si>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</si>
  <si>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</si>
  <si>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</si>
  <si>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</si>
  <si>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</si>
  <si>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</si>
  <si>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</si>
  <si>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</si>
  <si>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</si>
  <si>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</si>
  <si>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</si>
  <si>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</si>
  <si>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</si>
  <si>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</si>
  <si>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</si>
  <si>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</si>
  <si>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</si>
  <si>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</si>
  <si>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</si>
  <si>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</si>
  <si>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</si>
  <si>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</si>
  <si>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</si>
  <si>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</si>
  <si>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</si>
  <si>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</si>
  <si>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</si>
  <si>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</si>
  <si>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</si>
  <si>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</si>
  <si>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</si>
  <si>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</si>
  <si>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</si>
  <si>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</si>
  <si>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</si>
  <si>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</si>
  <si>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</si>
  <si>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</si>
  <si>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</si>
  <si>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</si>
  <si>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</si>
  <si>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</si>
  <si>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</si>
  <si>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</si>
  <si>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</si>
  <si>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</si>
  <si>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</si>
  <si>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</si>
  <si>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</si>
  <si>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</si>
  <si>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</si>
  <si>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</si>
  <si>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</si>
  <si>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</si>
  <si>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</si>
  <si>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</si>
  <si>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</si>
  <si>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</si>
  <si>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</si>
  <si>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</si>
  <si>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</si>
  <si>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</si>
  <si>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</si>
  <si>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</si>
  <si>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</si>
  <si>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</si>
  <si>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</si>
  <si>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</si>
  <si>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</si>
  <si>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</si>
  <si>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</si>
  <si>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</si>
  <si>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</si>
  <si>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</si>
  <si>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</si>
  <si>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</si>
  <si>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</si>
  <si>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</si>
  <si>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</si>
  <si>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</si>
  <si>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</si>
  <si>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</si>
  <si>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</si>
  <si>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</si>
  <si>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</si>
  <si>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</si>
  <si>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</si>
  <si>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</si>
  <si>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</si>
  <si>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</si>
  <si>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</si>
  <si>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</si>
  <si>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</si>
  <si>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</si>
  <si>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</si>
  <si>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</si>
  <si>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</si>
  <si>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</si>
  <si>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</si>
  <si>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</si>
  <si>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</si>
  <si>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</si>
  <si>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</si>
  <si>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</si>
  <si>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</si>
  <si>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</si>
  <si>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</si>
  <si>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</si>
  <si>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</si>
  <si>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</si>
  <si>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</si>
  <si>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</si>
  <si>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</si>
  <si>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</si>
  <si>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</si>
  <si>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</si>
  <si>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</si>
  <si>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</si>
  <si>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</si>
  <si>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</si>
  <si>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</si>
  <si>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</si>
  <si>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</si>
  <si>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</si>
  <si>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32006</t>
  </si>
  <si>
    <t>HOUTHULST</t>
  </si>
  <si>
    <t>Paarden&amp;pony's 200 - 600 kg</t>
  </si>
  <si>
    <t>Paarden&amp;pony's &lt; 200 kg</t>
  </si>
  <si>
    <t>Fluvius</t>
  </si>
  <si>
    <t>referentietaak LNE (2017); Jaarverslag De Lijn</t>
  </si>
  <si>
    <t>SAP-VSE bvba</t>
  </si>
  <si>
    <t>Heulegoedstraat 9 , 8650 Houthulst</t>
  </si>
  <si>
    <t>WKK-0390 SAP Eneco Energie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</si>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</sst>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119735.67659676178</c:v>
                </c:pt>
                <c:pt idx="1">
                  <c:v>25507.027364948652</c:v>
                </c:pt>
                <c:pt idx="2">
                  <c:v>880.13699999999994</c:v>
                </c:pt>
                <c:pt idx="3">
                  <c:v>36564.901730607467</c:v>
                </c:pt>
                <c:pt idx="4">
                  <c:v>10579.24479544218</c:v>
                </c:pt>
                <c:pt idx="5">
                  <c:v>49239.894466044134</c:v>
                </c:pt>
                <c:pt idx="6">
                  <c:v>639.25249294220089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119735.67659676178</c:v>
                </c:pt>
                <c:pt idx="1">
                  <c:v>25507.027364948652</c:v>
                </c:pt>
                <c:pt idx="2">
                  <c:v>880.13699999999994</c:v>
                </c:pt>
                <c:pt idx="3">
                  <c:v>36564.901730607467</c:v>
                </c:pt>
                <c:pt idx="4">
                  <c:v>10579.24479544218</c:v>
                </c:pt>
                <c:pt idx="5">
                  <c:v>49239.894466044134</c:v>
                </c:pt>
                <c:pt idx="6">
                  <c:v>639.25249294220089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23290.485642900832</c:v>
                </c:pt>
                <c:pt idx="2">
                  <c:v>3957.0622755686568</c:v>
                </c:pt>
                <c:pt idx="3">
                  <c:v>110.6720817342693</c:v>
                </c:pt>
                <c:pt idx="4">
                  <c:v>4248.341416886652</c:v>
                </c:pt>
                <c:pt idx="5">
                  <c:v>1922.059655362578</c:v>
                </c:pt>
                <c:pt idx="6">
                  <c:v>12331.852574306742</c:v>
                </c:pt>
                <c:pt idx="7">
                  <c:v>161.45229390933102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23290.485642900832</c:v>
                </c:pt>
                <c:pt idx="2">
                  <c:v>3957.0622755686568</c:v>
                </c:pt>
                <c:pt idx="3">
                  <c:v>110.6720817342693</c:v>
                </c:pt>
                <c:pt idx="4">
                  <c:v>4248.341416886652</c:v>
                </c:pt>
                <c:pt idx="5">
                  <c:v>1922.059655362578</c:v>
                </c:pt>
                <c:pt idx="6">
                  <c:v>12331.852574306742</c:v>
                </c:pt>
                <c:pt idx="7">
                  <c:v>161.45229390933102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32006</v>
      </c>
      <c r="B6" s="391"/>
      <c r="C6" s="392"/>
    </row>
    <row r="7" spans="1:7" s="389" customFormat="1" ht="15.75" customHeight="1">
      <c r="A7" s="393" t="str">
        <f>txtMunicipality</f>
        <v>HOUTHULST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15100.830400000001</v>
      </c>
      <c r="D10" s="991">
        <f ca="1">tertiair!C16</f>
        <v>0</v>
      </c>
      <c r="E10" s="991">
        <f ca="1">tertiair!D16</f>
        <v>7851.8856660375268</v>
      </c>
      <c r="F10" s="991">
        <f>tertiair!E16</f>
        <v>126.37789503911611</v>
      </c>
      <c r="G10" s="991">
        <f ca="1">tertiair!F16</f>
        <v>2075.3728084333611</v>
      </c>
      <c r="H10" s="991">
        <f>tertiair!G16</f>
        <v>0</v>
      </c>
      <c r="I10" s="991">
        <f>tertiair!H16</f>
        <v>0</v>
      </c>
      <c r="J10" s="991">
        <f>tertiair!I16</f>
        <v>0</v>
      </c>
      <c r="K10" s="991">
        <f>tertiair!J16</f>
        <v>0</v>
      </c>
      <c r="L10" s="991">
        <f>tertiair!K16</f>
        <v>0</v>
      </c>
      <c r="M10" s="991">
        <f ca="1">tertiair!L16</f>
        <v>0</v>
      </c>
      <c r="N10" s="991">
        <f>tertiair!M16</f>
        <v>0</v>
      </c>
      <c r="O10" s="991">
        <f ca="1">tertiair!N16</f>
        <v>1213.630928771981</v>
      </c>
      <c r="P10" s="991">
        <f>tertiair!O16</f>
        <v>0</v>
      </c>
      <c r="Q10" s="992">
        <f>tertiair!P16</f>
        <v>19.066666666666666</v>
      </c>
      <c r="R10" s="675">
        <f ca="1">SUM(C10:Q10)</f>
        <v>26387.16436494865</v>
      </c>
      <c r="S10" s="67"/>
    </row>
    <row r="11" spans="1:19" s="448" customFormat="1">
      <c r="A11" s="784" t="s">
        <v>224</v>
      </c>
      <c r="B11" s="789"/>
      <c r="C11" s="991">
        <f>huishoudens!B8</f>
        <v>17503.547819334308</v>
      </c>
      <c r="D11" s="991">
        <f>huishoudens!C8</f>
        <v>0</v>
      </c>
      <c r="E11" s="991">
        <f>huishoudens!D8</f>
        <v>18150.45175234729</v>
      </c>
      <c r="F11" s="991">
        <f>huishoudens!E8</f>
        <v>46509.167044422327</v>
      </c>
      <c r="G11" s="991">
        <f>huishoudens!F8</f>
        <v>18505.74319877796</v>
      </c>
      <c r="H11" s="991">
        <f>huishoudens!G8</f>
        <v>0</v>
      </c>
      <c r="I11" s="991">
        <f>huishoudens!H8</f>
        <v>0</v>
      </c>
      <c r="J11" s="991">
        <f>huishoudens!I8</f>
        <v>0</v>
      </c>
      <c r="K11" s="991">
        <f>huishoudens!J8</f>
        <v>5436.4724232828084</v>
      </c>
      <c r="L11" s="991">
        <f>huishoudens!K8</f>
        <v>0</v>
      </c>
      <c r="M11" s="991">
        <f>huishoudens!L8</f>
        <v>0</v>
      </c>
      <c r="N11" s="991">
        <f>huishoudens!M8</f>
        <v>0</v>
      </c>
      <c r="O11" s="991">
        <f>huishoudens!N8</f>
        <v>13218.891025263754</v>
      </c>
      <c r="P11" s="991">
        <f>huishoudens!O8</f>
        <v>201.67000000000004</v>
      </c>
      <c r="Q11" s="992">
        <f>huishoudens!P8</f>
        <v>209.73333333333335</v>
      </c>
      <c r="R11" s="675">
        <f>SUM(C11:Q11)</f>
        <v>119735.67659676178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4889.5111299999999</v>
      </c>
      <c r="D13" s="991">
        <f>industrie!C18</f>
        <v>0</v>
      </c>
      <c r="E13" s="991">
        <f>industrie!D18</f>
        <v>748.78295275317373</v>
      </c>
      <c r="F13" s="991">
        <f>industrie!E18</f>
        <v>1017.7143416102621</v>
      </c>
      <c r="G13" s="991">
        <f>industrie!F18</f>
        <v>3450.9539983603622</v>
      </c>
      <c r="H13" s="991">
        <f>industrie!G18</f>
        <v>0</v>
      </c>
      <c r="I13" s="991">
        <f>industrie!H18</f>
        <v>0</v>
      </c>
      <c r="J13" s="991">
        <f>industrie!I18</f>
        <v>0</v>
      </c>
      <c r="K13" s="991">
        <f>industrie!J18</f>
        <v>10.03443323593843</v>
      </c>
      <c r="L13" s="991">
        <f>industrie!K18</f>
        <v>0</v>
      </c>
      <c r="M13" s="991">
        <f>industrie!L18</f>
        <v>0</v>
      </c>
      <c r="N13" s="991">
        <f>industrie!M18</f>
        <v>0</v>
      </c>
      <c r="O13" s="991">
        <f>industrie!N18</f>
        <v>462.24793948244343</v>
      </c>
      <c r="P13" s="991">
        <f>industrie!O18</f>
        <v>0</v>
      </c>
      <c r="Q13" s="992">
        <f>industrie!P18</f>
        <v>0</v>
      </c>
      <c r="R13" s="675">
        <f>SUM(C13:Q13)</f>
        <v>10579.24479544218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37493.889349334306</v>
      </c>
      <c r="D16" s="707">
        <f t="shared" ref="D16:R16" ca="1" si="0">SUM(D9:D15)</f>
        <v>0</v>
      </c>
      <c r="E16" s="707">
        <f t="shared" ca="1" si="0"/>
        <v>26751.120371137989</v>
      </c>
      <c r="F16" s="707">
        <f t="shared" si="0"/>
        <v>47653.259281071703</v>
      </c>
      <c r="G16" s="707">
        <f t="shared" ca="1" si="0"/>
        <v>24032.070005571681</v>
      </c>
      <c r="H16" s="707">
        <f t="shared" si="0"/>
        <v>0</v>
      </c>
      <c r="I16" s="707">
        <f t="shared" si="0"/>
        <v>0</v>
      </c>
      <c r="J16" s="707">
        <f t="shared" si="0"/>
        <v>0</v>
      </c>
      <c r="K16" s="707">
        <f t="shared" si="0"/>
        <v>5446.5068565187466</v>
      </c>
      <c r="L16" s="707">
        <f t="shared" si="0"/>
        <v>0</v>
      </c>
      <c r="M16" s="707">
        <f t="shared" ca="1" si="0"/>
        <v>0</v>
      </c>
      <c r="N16" s="707">
        <f t="shared" si="0"/>
        <v>0</v>
      </c>
      <c r="O16" s="707">
        <f t="shared" ca="1" si="0"/>
        <v>14894.76989351818</v>
      </c>
      <c r="P16" s="707">
        <f t="shared" si="0"/>
        <v>201.67000000000004</v>
      </c>
      <c r="Q16" s="707">
        <f t="shared" si="0"/>
        <v>228.8</v>
      </c>
      <c r="R16" s="707">
        <f t="shared" ca="1" si="0"/>
        <v>156702.08575715261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604.69023936079032</v>
      </c>
      <c r="I19" s="991">
        <f>transport!H54</f>
        <v>0</v>
      </c>
      <c r="J19" s="991">
        <f>transport!I54</f>
        <v>0</v>
      </c>
      <c r="K19" s="991">
        <f>transport!J54</f>
        <v>0</v>
      </c>
      <c r="L19" s="991">
        <f>transport!K54</f>
        <v>0</v>
      </c>
      <c r="M19" s="991">
        <f>transport!L54</f>
        <v>0</v>
      </c>
      <c r="N19" s="991">
        <f>transport!M54</f>
        <v>34.56225358141063</v>
      </c>
      <c r="O19" s="991">
        <f>transport!N54</f>
        <v>0</v>
      </c>
      <c r="P19" s="991">
        <f>transport!O54</f>
        <v>0</v>
      </c>
      <c r="Q19" s="992">
        <f>transport!P54</f>
        <v>0</v>
      </c>
      <c r="R19" s="675">
        <f>SUM(C19:Q19)</f>
        <v>639.25249294220089</v>
      </c>
      <c r="S19" s="67"/>
    </row>
    <row r="20" spans="1:19" s="448" customFormat="1">
      <c r="A20" s="784" t="s">
        <v>306</v>
      </c>
      <c r="B20" s="789"/>
      <c r="C20" s="991">
        <f>transport!B14</f>
        <v>5.9184373563075559</v>
      </c>
      <c r="D20" s="991">
        <f>transport!C14</f>
        <v>0</v>
      </c>
      <c r="E20" s="991">
        <f>transport!D14</f>
        <v>13.559291958598774</v>
      </c>
      <c r="F20" s="991">
        <f>transport!E14</f>
        <v>127.29211165164652</v>
      </c>
      <c r="G20" s="991">
        <f>transport!F14</f>
        <v>0</v>
      </c>
      <c r="H20" s="991">
        <f>transport!G14</f>
        <v>38474.291993757448</v>
      </c>
      <c r="I20" s="991">
        <f>transport!H14</f>
        <v>8139.9121155000521</v>
      </c>
      <c r="J20" s="991">
        <f>transport!I14</f>
        <v>0</v>
      </c>
      <c r="K20" s="991">
        <f>transport!J14</f>
        <v>0</v>
      </c>
      <c r="L20" s="991">
        <f>transport!K14</f>
        <v>0</v>
      </c>
      <c r="M20" s="991">
        <f>transport!L14</f>
        <v>0</v>
      </c>
      <c r="N20" s="991">
        <f>transport!M14</f>
        <v>2478.9205158200784</v>
      </c>
      <c r="O20" s="991">
        <f>transport!N14</f>
        <v>0</v>
      </c>
      <c r="P20" s="991">
        <f>transport!O14</f>
        <v>0</v>
      </c>
      <c r="Q20" s="992">
        <f>transport!P14</f>
        <v>0</v>
      </c>
      <c r="R20" s="675">
        <f>SUM(C20:Q20)</f>
        <v>49239.894466044134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5.9184373563075559</v>
      </c>
      <c r="D22" s="787">
        <f t="shared" ref="D22:R22" si="1">SUM(D18:D21)</f>
        <v>0</v>
      </c>
      <c r="E22" s="787">
        <f t="shared" si="1"/>
        <v>13.559291958598774</v>
      </c>
      <c r="F22" s="787">
        <f t="shared" si="1"/>
        <v>127.29211165164652</v>
      </c>
      <c r="G22" s="787">
        <f t="shared" si="1"/>
        <v>0</v>
      </c>
      <c r="H22" s="787">
        <f t="shared" si="1"/>
        <v>39078.982233118237</v>
      </c>
      <c r="I22" s="787">
        <f t="shared" si="1"/>
        <v>8139.9121155000521</v>
      </c>
      <c r="J22" s="787">
        <f t="shared" si="1"/>
        <v>0</v>
      </c>
      <c r="K22" s="787">
        <f t="shared" si="1"/>
        <v>0</v>
      </c>
      <c r="L22" s="787">
        <f t="shared" si="1"/>
        <v>0</v>
      </c>
      <c r="M22" s="787">
        <f t="shared" si="1"/>
        <v>0</v>
      </c>
      <c r="N22" s="787">
        <f t="shared" si="1"/>
        <v>2513.4827694014889</v>
      </c>
      <c r="O22" s="787">
        <f t="shared" si="1"/>
        <v>0</v>
      </c>
      <c r="P22" s="787">
        <f t="shared" si="1"/>
        <v>0</v>
      </c>
      <c r="Q22" s="787">
        <f t="shared" si="1"/>
        <v>0</v>
      </c>
      <c r="R22" s="787">
        <f t="shared" si="1"/>
        <v>49879.146958986334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4786.8703700000005</v>
      </c>
      <c r="D24" s="991">
        <f>+landbouw!C8</f>
        <v>18192.857142857145</v>
      </c>
      <c r="E24" s="991">
        <f>+landbouw!D8</f>
        <v>661.75354354784224</v>
      </c>
      <c r="F24" s="991">
        <f>+landbouw!E8</f>
        <v>44.337998292547589</v>
      </c>
      <c r="G24" s="991">
        <f>+landbouw!F8</f>
        <v>12145.20202655968</v>
      </c>
      <c r="H24" s="991">
        <f>+landbouw!G8</f>
        <v>0</v>
      </c>
      <c r="I24" s="991">
        <f>+landbouw!H8</f>
        <v>0</v>
      </c>
      <c r="J24" s="991">
        <f>+landbouw!I8</f>
        <v>0</v>
      </c>
      <c r="K24" s="991">
        <f>+landbouw!J8</f>
        <v>733.88064935024556</v>
      </c>
      <c r="L24" s="991">
        <f>+landbouw!K8</f>
        <v>0</v>
      </c>
      <c r="M24" s="991">
        <f>+landbouw!L8</f>
        <v>0</v>
      </c>
      <c r="N24" s="991">
        <f>+landbouw!M8</f>
        <v>0</v>
      </c>
      <c r="O24" s="991">
        <f>+landbouw!N8</f>
        <v>0</v>
      </c>
      <c r="P24" s="991">
        <f>+landbouw!O8</f>
        <v>0</v>
      </c>
      <c r="Q24" s="992">
        <f>+landbouw!P8</f>
        <v>0</v>
      </c>
      <c r="R24" s="675">
        <f>SUM(C24:Q24)</f>
        <v>36564.901730607467</v>
      </c>
      <c r="S24" s="67"/>
    </row>
    <row r="25" spans="1:19" s="448" customFormat="1" ht="15" thickBot="1">
      <c r="A25" s="806" t="s">
        <v>849</v>
      </c>
      <c r="B25" s="994"/>
      <c r="C25" s="995">
        <f>IF(Onbekend_ele_kWh="---",0,Onbekend_ele_kWh)/1000+IF(REST_rest_ele_kWh="---",0,REST_rest_ele_kWh)/1000</f>
        <v>829.2958000000001</v>
      </c>
      <c r="D25" s="995"/>
      <c r="E25" s="995">
        <f>IF(onbekend_gas_kWh="---",0,onbekend_gas_kWh)/1000+IF(REST_rest_gas_kWh="---",0,REST_rest_gas_kWh)/1000</f>
        <v>410.847681682315</v>
      </c>
      <c r="F25" s="995"/>
      <c r="G25" s="995"/>
      <c r="H25" s="995"/>
      <c r="I25" s="995"/>
      <c r="J25" s="995"/>
      <c r="K25" s="995"/>
      <c r="L25" s="995"/>
      <c r="M25" s="995"/>
      <c r="N25" s="995"/>
      <c r="O25" s="995"/>
      <c r="P25" s="995"/>
      <c r="Q25" s="996"/>
      <c r="R25" s="675">
        <f>SUM(C25:Q25)</f>
        <v>1240.143481682315</v>
      </c>
      <c r="S25" s="67"/>
    </row>
    <row r="26" spans="1:19" s="448" customFormat="1" ht="15.75" thickBot="1">
      <c r="A26" s="680" t="s">
        <v>850</v>
      </c>
      <c r="B26" s="792"/>
      <c r="C26" s="787">
        <f>SUM(C24:C25)</f>
        <v>5616.1661700000004</v>
      </c>
      <c r="D26" s="787">
        <f t="shared" ref="D26:R26" si="2">SUM(D24:D25)</f>
        <v>18192.857142857145</v>
      </c>
      <c r="E26" s="787">
        <f t="shared" si="2"/>
        <v>1072.6012252301573</v>
      </c>
      <c r="F26" s="787">
        <f t="shared" si="2"/>
        <v>44.337998292547589</v>
      </c>
      <c r="G26" s="787">
        <f t="shared" si="2"/>
        <v>12145.20202655968</v>
      </c>
      <c r="H26" s="787">
        <f t="shared" si="2"/>
        <v>0</v>
      </c>
      <c r="I26" s="787">
        <f t="shared" si="2"/>
        <v>0</v>
      </c>
      <c r="J26" s="787">
        <f t="shared" si="2"/>
        <v>0</v>
      </c>
      <c r="K26" s="787">
        <f t="shared" si="2"/>
        <v>733.88064935024556</v>
      </c>
      <c r="L26" s="787">
        <f t="shared" si="2"/>
        <v>0</v>
      </c>
      <c r="M26" s="787">
        <f t="shared" si="2"/>
        <v>0</v>
      </c>
      <c r="N26" s="787">
        <f t="shared" si="2"/>
        <v>0</v>
      </c>
      <c r="O26" s="787">
        <f t="shared" si="2"/>
        <v>0</v>
      </c>
      <c r="P26" s="787">
        <f t="shared" si="2"/>
        <v>0</v>
      </c>
      <c r="Q26" s="787">
        <f t="shared" si="2"/>
        <v>0</v>
      </c>
      <c r="R26" s="787">
        <f t="shared" si="2"/>
        <v>37805.045212289784</v>
      </c>
      <c r="S26" s="67"/>
    </row>
    <row r="27" spans="1:19" s="448" customFormat="1" ht="17.25" thickTop="1" thickBot="1">
      <c r="A27" s="681" t="s">
        <v>115</v>
      </c>
      <c r="B27" s="780"/>
      <c r="C27" s="682">
        <f ca="1">C22+C16+C26</f>
        <v>43115.973956690621</v>
      </c>
      <c r="D27" s="682">
        <f t="shared" ref="D27:R27" ca="1" si="3">D22+D16+D26</f>
        <v>18192.857142857145</v>
      </c>
      <c r="E27" s="682">
        <f t="shared" ca="1" si="3"/>
        <v>27837.280888326746</v>
      </c>
      <c r="F27" s="682">
        <f t="shared" si="3"/>
        <v>47824.889391015895</v>
      </c>
      <c r="G27" s="682">
        <f t="shared" ca="1" si="3"/>
        <v>36177.272032131361</v>
      </c>
      <c r="H27" s="682">
        <f t="shared" si="3"/>
        <v>39078.982233118237</v>
      </c>
      <c r="I27" s="682">
        <f t="shared" si="3"/>
        <v>8139.9121155000521</v>
      </c>
      <c r="J27" s="682">
        <f t="shared" si="3"/>
        <v>0</v>
      </c>
      <c r="K27" s="682">
        <f t="shared" si="3"/>
        <v>6180.3875058689919</v>
      </c>
      <c r="L27" s="682">
        <f t="shared" si="3"/>
        <v>0</v>
      </c>
      <c r="M27" s="682">
        <f t="shared" ca="1" si="3"/>
        <v>0</v>
      </c>
      <c r="N27" s="682">
        <f t="shared" si="3"/>
        <v>2513.4827694014889</v>
      </c>
      <c r="O27" s="682">
        <f t="shared" ca="1" si="3"/>
        <v>14894.76989351818</v>
      </c>
      <c r="P27" s="682">
        <f t="shared" si="3"/>
        <v>201.67000000000004</v>
      </c>
      <c r="Q27" s="682">
        <f t="shared" si="3"/>
        <v>228.8</v>
      </c>
      <c r="R27" s="682">
        <f t="shared" ca="1" si="3"/>
        <v>244386.27792842872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1898.8411307377587</v>
      </c>
      <c r="D40" s="991">
        <f ca="1">tertiair!C20</f>
        <v>0</v>
      </c>
      <c r="E40" s="991">
        <f ca="1">tertiair!D20</f>
        <v>1586.0809045395806</v>
      </c>
      <c r="F40" s="991">
        <f>tertiair!E20</f>
        <v>28.687782173879359</v>
      </c>
      <c r="G40" s="991">
        <f ca="1">tertiair!F20</f>
        <v>554.12453985170748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4067.7343573029261</v>
      </c>
    </row>
    <row r="41" spans="1:18">
      <c r="A41" s="797" t="s">
        <v>224</v>
      </c>
      <c r="B41" s="804"/>
      <c r="C41" s="991">
        <f ca="1">huishoudens!B12</f>
        <v>2200.9687979269793</v>
      </c>
      <c r="D41" s="991">
        <f ca="1">huishoudens!C12</f>
        <v>0</v>
      </c>
      <c r="E41" s="991">
        <f>huishoudens!D12</f>
        <v>3666.3912539741527</v>
      </c>
      <c r="F41" s="991">
        <f>huishoudens!E12</f>
        <v>10557.580919083868</v>
      </c>
      <c r="G41" s="991">
        <f>huishoudens!F12</f>
        <v>4941.0334340737154</v>
      </c>
      <c r="H41" s="991">
        <f>huishoudens!G12</f>
        <v>0</v>
      </c>
      <c r="I41" s="991">
        <f>huishoudens!H12</f>
        <v>0</v>
      </c>
      <c r="J41" s="991">
        <f>huishoudens!I12</f>
        <v>0</v>
      </c>
      <c r="K41" s="991">
        <f>huishoudens!J12</f>
        <v>1924.511237842114</v>
      </c>
      <c r="L41" s="991">
        <f>huishoudens!K12</f>
        <v>0</v>
      </c>
      <c r="M41" s="991">
        <f>huishoudens!L12</f>
        <v>0</v>
      </c>
      <c r="N41" s="991">
        <f>huishoudens!M12</f>
        <v>0</v>
      </c>
      <c r="O41" s="991">
        <f>huishoudens!N12</f>
        <v>0</v>
      </c>
      <c r="P41" s="991">
        <f>huishoudens!O12</f>
        <v>0</v>
      </c>
      <c r="Q41" s="749">
        <f>huishoudens!P12</f>
        <v>0</v>
      </c>
      <c r="R41" s="825">
        <f t="shared" ca="1" si="4"/>
        <v>23290.485642900832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614.82743643316837</v>
      </c>
      <c r="D43" s="991">
        <f ca="1">industrie!C22</f>
        <v>0</v>
      </c>
      <c r="E43" s="991">
        <f>industrie!D22</f>
        <v>151.25415645614109</v>
      </c>
      <c r="F43" s="991">
        <f>industrie!E22</f>
        <v>231.0211555455295</v>
      </c>
      <c r="G43" s="991">
        <f>industrie!F22</f>
        <v>921.40471756221677</v>
      </c>
      <c r="H43" s="991">
        <f>industrie!G22</f>
        <v>0</v>
      </c>
      <c r="I43" s="991">
        <f>industrie!H22</f>
        <v>0</v>
      </c>
      <c r="J43" s="991">
        <f>industrie!I22</f>
        <v>0</v>
      </c>
      <c r="K43" s="991">
        <f>industrie!J22</f>
        <v>3.5521893655222039</v>
      </c>
      <c r="L43" s="991">
        <f>industrie!K22</f>
        <v>0</v>
      </c>
      <c r="M43" s="991">
        <f>industrie!L22</f>
        <v>0</v>
      </c>
      <c r="N43" s="991">
        <f>industrie!M22</f>
        <v>0</v>
      </c>
      <c r="O43" s="991">
        <f>industrie!N22</f>
        <v>0</v>
      </c>
      <c r="P43" s="991">
        <f>industrie!O22</f>
        <v>0</v>
      </c>
      <c r="Q43" s="749">
        <f>industrie!P22</f>
        <v>0</v>
      </c>
      <c r="R43" s="824">
        <f t="shared" ca="1" si="4"/>
        <v>1922.059655362578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4714.6373650979058</v>
      </c>
      <c r="D46" s="707">
        <f t="shared" ref="D46:Q46" ca="1" si="5">SUM(D39:D45)</f>
        <v>0</v>
      </c>
      <c r="E46" s="707">
        <f t="shared" ca="1" si="5"/>
        <v>5403.7263149698738</v>
      </c>
      <c r="F46" s="707">
        <f t="shared" si="5"/>
        <v>10817.289856803278</v>
      </c>
      <c r="G46" s="707">
        <f t="shared" ca="1" si="5"/>
        <v>6416.5626914876393</v>
      </c>
      <c r="H46" s="707">
        <f t="shared" si="5"/>
        <v>0</v>
      </c>
      <c r="I46" s="707">
        <f t="shared" si="5"/>
        <v>0</v>
      </c>
      <c r="J46" s="707">
        <f t="shared" si="5"/>
        <v>0</v>
      </c>
      <c r="K46" s="707">
        <f t="shared" si="5"/>
        <v>1928.0634272076363</v>
      </c>
      <c r="L46" s="707">
        <f t="shared" si="5"/>
        <v>0</v>
      </c>
      <c r="M46" s="707">
        <f t="shared" ca="1" si="5"/>
        <v>0</v>
      </c>
      <c r="N46" s="707">
        <f t="shared" si="5"/>
        <v>0</v>
      </c>
      <c r="O46" s="707">
        <f t="shared" ca="1" si="5"/>
        <v>0</v>
      </c>
      <c r="P46" s="707">
        <f t="shared" si="5"/>
        <v>0</v>
      </c>
      <c r="Q46" s="707">
        <f t="shared" si="5"/>
        <v>0</v>
      </c>
      <c r="R46" s="707">
        <f ca="1">SUM(R39:R45)</f>
        <v>29280.279655566334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161.45229390933102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161.45229390933102</v>
      </c>
    </row>
    <row r="50" spans="1:18">
      <c r="A50" s="800" t="s">
        <v>306</v>
      </c>
      <c r="B50" s="810"/>
      <c r="C50" s="678">
        <f ca="1">transport!B18</f>
        <v>0.74420889342957131</v>
      </c>
      <c r="D50" s="678">
        <f>transport!C18</f>
        <v>0</v>
      </c>
      <c r="E50" s="678">
        <f>transport!D18</f>
        <v>2.7389769756369526</v>
      </c>
      <c r="F50" s="678">
        <f>transport!E18</f>
        <v>28.89530934492376</v>
      </c>
      <c r="G50" s="678">
        <f>transport!F18</f>
        <v>0</v>
      </c>
      <c r="H50" s="678">
        <f>transport!G18</f>
        <v>10272.635962333239</v>
      </c>
      <c r="I50" s="678">
        <f>transport!H18</f>
        <v>2026.838116759513</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12331.852574306742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0.74420889342957131</v>
      </c>
      <c r="D52" s="707">
        <f t="shared" ref="D52:Q52" ca="1" si="6">SUM(D48:D51)</f>
        <v>0</v>
      </c>
      <c r="E52" s="707">
        <f t="shared" si="6"/>
        <v>2.7389769756369526</v>
      </c>
      <c r="F52" s="707">
        <f t="shared" si="6"/>
        <v>28.89530934492376</v>
      </c>
      <c r="G52" s="707">
        <f t="shared" si="6"/>
        <v>0</v>
      </c>
      <c r="H52" s="707">
        <f t="shared" si="6"/>
        <v>10434.08825624257</v>
      </c>
      <c r="I52" s="707">
        <f t="shared" si="6"/>
        <v>2026.838116759513</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12493.304868216073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601.92096098674642</v>
      </c>
      <c r="D54" s="678">
        <f ca="1">+landbouw!C12</f>
        <v>0.11882352941176472</v>
      </c>
      <c r="E54" s="678">
        <f>+landbouw!D12</f>
        <v>133.67421579666413</v>
      </c>
      <c r="F54" s="678">
        <f>+landbouw!E12</f>
        <v>10.064725612408303</v>
      </c>
      <c r="G54" s="678">
        <f>+landbouw!F12</f>
        <v>3242.768941091435</v>
      </c>
      <c r="H54" s="678">
        <f>+landbouw!G12</f>
        <v>0</v>
      </c>
      <c r="I54" s="678">
        <f>+landbouw!H12</f>
        <v>0</v>
      </c>
      <c r="J54" s="678">
        <f>+landbouw!I12</f>
        <v>0</v>
      </c>
      <c r="K54" s="678">
        <f>+landbouw!J12</f>
        <v>259.79374986998693</v>
      </c>
      <c r="L54" s="678">
        <f>+landbouw!K12</f>
        <v>0</v>
      </c>
      <c r="M54" s="678">
        <f>+landbouw!L12</f>
        <v>0</v>
      </c>
      <c r="N54" s="678">
        <f>+landbouw!M12</f>
        <v>0</v>
      </c>
      <c r="O54" s="678">
        <f>+landbouw!N12</f>
        <v>0</v>
      </c>
      <c r="P54" s="678">
        <f>+landbouw!O12</f>
        <v>0</v>
      </c>
      <c r="Q54" s="679">
        <f>+landbouw!P12</f>
        <v>0</v>
      </c>
      <c r="R54" s="706">
        <f ca="1">SUM(C54:Q54)</f>
        <v>4248.341416886652</v>
      </c>
    </row>
    <row r="55" spans="1:18" ht="15" thickBot="1">
      <c r="A55" s="800" t="s">
        <v>849</v>
      </c>
      <c r="B55" s="810"/>
      <c r="C55" s="678">
        <f ca="1">C25*'EF ele_warmte'!B12</f>
        <v>104.27909809437197</v>
      </c>
      <c r="D55" s="678"/>
      <c r="E55" s="678">
        <f>E25*EF_CO2_aardgas</f>
        <v>82.991231699827637</v>
      </c>
      <c r="F55" s="678"/>
      <c r="G55" s="678"/>
      <c r="H55" s="678"/>
      <c r="I55" s="678"/>
      <c r="J55" s="678"/>
      <c r="K55" s="678"/>
      <c r="L55" s="678"/>
      <c r="M55" s="678"/>
      <c r="N55" s="678"/>
      <c r="O55" s="678"/>
      <c r="P55" s="678"/>
      <c r="Q55" s="679"/>
      <c r="R55" s="706">
        <f ca="1">SUM(C55:Q55)</f>
        <v>187.2703297941996</v>
      </c>
    </row>
    <row r="56" spans="1:18" ht="15.75" thickBot="1">
      <c r="A56" s="798" t="s">
        <v>850</v>
      </c>
      <c r="B56" s="811"/>
      <c r="C56" s="707">
        <f ca="1">SUM(C54:C55)</f>
        <v>706.20005908111841</v>
      </c>
      <c r="D56" s="707">
        <f t="shared" ref="D56:Q56" ca="1" si="7">SUM(D54:D55)</f>
        <v>0.11882352941176472</v>
      </c>
      <c r="E56" s="707">
        <f t="shared" si="7"/>
        <v>216.66544749649177</v>
      </c>
      <c r="F56" s="707">
        <f t="shared" si="7"/>
        <v>10.064725612408303</v>
      </c>
      <c r="G56" s="707">
        <f t="shared" si="7"/>
        <v>3242.768941091435</v>
      </c>
      <c r="H56" s="707">
        <f t="shared" si="7"/>
        <v>0</v>
      </c>
      <c r="I56" s="707">
        <f t="shared" si="7"/>
        <v>0</v>
      </c>
      <c r="J56" s="707">
        <f t="shared" si="7"/>
        <v>0</v>
      </c>
      <c r="K56" s="707">
        <f t="shared" si="7"/>
        <v>259.79374986998693</v>
      </c>
      <c r="L56" s="707">
        <f t="shared" si="7"/>
        <v>0</v>
      </c>
      <c r="M56" s="707">
        <f t="shared" si="7"/>
        <v>0</v>
      </c>
      <c r="N56" s="707">
        <f t="shared" si="7"/>
        <v>0</v>
      </c>
      <c r="O56" s="707">
        <f t="shared" si="7"/>
        <v>0</v>
      </c>
      <c r="P56" s="707">
        <f t="shared" si="7"/>
        <v>0</v>
      </c>
      <c r="Q56" s="708">
        <f t="shared" si="7"/>
        <v>0</v>
      </c>
      <c r="R56" s="709">
        <f ca="1">SUM(R54:R55)</f>
        <v>4435.6117466808519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5421.5816330724538</v>
      </c>
      <c r="D61" s="715">
        <f t="shared" ref="D61:Q61" ca="1" si="8">D46+D52+D56</f>
        <v>0.11882352941176472</v>
      </c>
      <c r="E61" s="715">
        <f t="shared" ca="1" si="8"/>
        <v>5623.1307394420028</v>
      </c>
      <c r="F61" s="715">
        <f t="shared" si="8"/>
        <v>10856.24989176061</v>
      </c>
      <c r="G61" s="715">
        <f t="shared" ca="1" si="8"/>
        <v>9659.3316325790747</v>
      </c>
      <c r="H61" s="715">
        <f t="shared" si="8"/>
        <v>10434.08825624257</v>
      </c>
      <c r="I61" s="715">
        <f t="shared" si="8"/>
        <v>2026.838116759513</v>
      </c>
      <c r="J61" s="715">
        <f t="shared" si="8"/>
        <v>0</v>
      </c>
      <c r="K61" s="715">
        <f t="shared" si="8"/>
        <v>2187.8571770776234</v>
      </c>
      <c r="L61" s="715">
        <f t="shared" si="8"/>
        <v>0</v>
      </c>
      <c r="M61" s="715">
        <f t="shared" ca="1" si="8"/>
        <v>0</v>
      </c>
      <c r="N61" s="715">
        <f t="shared" si="8"/>
        <v>0</v>
      </c>
      <c r="O61" s="715">
        <f t="shared" ca="1" si="8"/>
        <v>0</v>
      </c>
      <c r="P61" s="715">
        <f t="shared" si="8"/>
        <v>0</v>
      </c>
      <c r="Q61" s="715">
        <f t="shared" si="8"/>
        <v>0</v>
      </c>
      <c r="R61" s="715">
        <f ca="1">R46+R52+R56</f>
        <v>46209.196270463261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0.12574415316509735</v>
      </c>
      <c r="D63" s="756">
        <f t="shared" ca="1" si="9"/>
        <v>6.5313286680985699E-6</v>
      </c>
      <c r="E63" s="1002">
        <f t="shared" ca="1" si="9"/>
        <v>0.20200000000000001</v>
      </c>
      <c r="F63" s="756">
        <f t="shared" si="9"/>
        <v>0.22700000000000004</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5849.3067322477855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12734.650009618894</v>
      </c>
      <c r="C76" s="725">
        <f>'lokale energieproductie'!B8*IFERROR(SUM(D76:H76)/SUM(D76:O76),0)</f>
        <v>0.34999038110456321</v>
      </c>
      <c r="D76" s="1012">
        <f>'lokale energieproductie'!C8</f>
        <v>0.41176470588235292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14982.352941176472</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8.3176470588235296E-2</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18583.956741866677</v>
      </c>
      <c r="C78" s="730">
        <f>SUM(C72:C77)</f>
        <v>0.34999038110456321</v>
      </c>
      <c r="D78" s="731">
        <f t="shared" ref="D78:H78" si="10">SUM(D76:D77)</f>
        <v>0.41176470588235292</v>
      </c>
      <c r="E78" s="731">
        <f t="shared" si="10"/>
        <v>0</v>
      </c>
      <c r="F78" s="731">
        <f t="shared" si="10"/>
        <v>0</v>
      </c>
      <c r="G78" s="731">
        <f t="shared" si="10"/>
        <v>0</v>
      </c>
      <c r="H78" s="731">
        <f t="shared" si="10"/>
        <v>0</v>
      </c>
      <c r="I78" s="731">
        <f>SUM(I76:I77)</f>
        <v>0</v>
      </c>
      <c r="J78" s="731">
        <f>SUM(J76:J77)</f>
        <v>14982.352941176472</v>
      </c>
      <c r="K78" s="731">
        <f t="shared" ref="K78:L78" si="11">SUM(K76:K77)</f>
        <v>0</v>
      </c>
      <c r="L78" s="731">
        <f t="shared" si="11"/>
        <v>0</v>
      </c>
      <c r="M78" s="731">
        <f>SUM(M76:M77)</f>
        <v>0</v>
      </c>
      <c r="N78" s="731">
        <f>SUM(N76:N77)</f>
        <v>0</v>
      </c>
      <c r="O78" s="835">
        <f>SUM(O76:O77)</f>
        <v>0</v>
      </c>
      <c r="P78" s="732">
        <v>0</v>
      </c>
      <c r="Q78" s="732">
        <f>SUM(Q76:Q77)</f>
        <v>8.3176470588235296E-2</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18192.357156598424</v>
      </c>
      <c r="C87" s="741">
        <f>'lokale energieproductie'!B17*IFERROR(SUM(D87:H87)/SUM(D87:O87),0)</f>
        <v>0.49998625872080465</v>
      </c>
      <c r="D87" s="752">
        <f>'lokale energieproductie'!C17</f>
        <v>0.58823529411764708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21403.361344537818</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0.11882352941176472</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18192.357156598424</v>
      </c>
      <c r="C90" s="730">
        <f>SUM(C87:C89)</f>
        <v>0.49998625872080465</v>
      </c>
      <c r="D90" s="730">
        <f t="shared" ref="D90:H90" si="12">SUM(D87:D89)</f>
        <v>0.58823529411764708</v>
      </c>
      <c r="E90" s="730">
        <f t="shared" si="12"/>
        <v>0</v>
      </c>
      <c r="F90" s="730">
        <f t="shared" si="12"/>
        <v>0</v>
      </c>
      <c r="G90" s="730">
        <f t="shared" si="12"/>
        <v>0</v>
      </c>
      <c r="H90" s="730">
        <f t="shared" si="12"/>
        <v>0</v>
      </c>
      <c r="I90" s="730">
        <f>SUM(I87:I89)</f>
        <v>0</v>
      </c>
      <c r="J90" s="730">
        <f>SUM(J87:J89)</f>
        <v>21403.361344537818</v>
      </c>
      <c r="K90" s="730">
        <f t="shared" ref="K90:L90" si="13">SUM(K87:K89)</f>
        <v>0</v>
      </c>
      <c r="L90" s="730">
        <f t="shared" si="13"/>
        <v>0</v>
      </c>
      <c r="M90" s="730">
        <f>SUM(M87:M89)</f>
        <v>0</v>
      </c>
      <c r="N90" s="730">
        <f>SUM(N87:N89)</f>
        <v>0</v>
      </c>
      <c r="O90" s="730">
        <f>SUM(O87:O89)</f>
        <v>0</v>
      </c>
      <c r="P90" s="730">
        <v>0</v>
      </c>
      <c r="Q90" s="730">
        <f>SUM(Q87:Q89)</f>
        <v>0.11882352941176472</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17503.547819334308</v>
      </c>
      <c r="C4" s="452">
        <f>huishoudens!C8</f>
        <v>0</v>
      </c>
      <c r="D4" s="452">
        <f>huishoudens!D8</f>
        <v>18150.45175234729</v>
      </c>
      <c r="E4" s="452">
        <f>huishoudens!E8</f>
        <v>46509.167044422327</v>
      </c>
      <c r="F4" s="452">
        <f>huishoudens!F8</f>
        <v>18505.74319877796</v>
      </c>
      <c r="G4" s="452">
        <f>huishoudens!G8</f>
        <v>0</v>
      </c>
      <c r="H4" s="452">
        <f>huishoudens!H8</f>
        <v>0</v>
      </c>
      <c r="I4" s="452">
        <f>huishoudens!I8</f>
        <v>0</v>
      </c>
      <c r="J4" s="452">
        <f>huishoudens!J8</f>
        <v>5436.4724232828084</v>
      </c>
      <c r="K4" s="452">
        <f>huishoudens!K8</f>
        <v>0</v>
      </c>
      <c r="L4" s="452">
        <f>huishoudens!L8</f>
        <v>0</v>
      </c>
      <c r="M4" s="452">
        <f>huishoudens!M8</f>
        <v>0</v>
      </c>
      <c r="N4" s="452">
        <f>huishoudens!N8</f>
        <v>13218.891025263754</v>
      </c>
      <c r="O4" s="452">
        <f>huishoudens!O8</f>
        <v>201.67000000000004</v>
      </c>
      <c r="P4" s="453">
        <f>huishoudens!P8</f>
        <v>209.73333333333335</v>
      </c>
      <c r="Q4" s="454">
        <f>SUM(B4:P4)</f>
        <v>119735.67659676178</v>
      </c>
    </row>
    <row r="5" spans="1:17">
      <c r="A5" s="451" t="s">
        <v>155</v>
      </c>
      <c r="B5" s="452">
        <f ca="1">tertiair!B16</f>
        <v>14220.6934</v>
      </c>
      <c r="C5" s="452">
        <f ca="1">tertiair!C16</f>
        <v>0</v>
      </c>
      <c r="D5" s="452">
        <f ca="1">tertiair!D16</f>
        <v>7851.8856660375268</v>
      </c>
      <c r="E5" s="452">
        <f>tertiair!E16</f>
        <v>126.37789503911611</v>
      </c>
      <c r="F5" s="452">
        <f ca="1">tertiair!F16</f>
        <v>2075.3728084333611</v>
      </c>
      <c r="G5" s="452">
        <f>tertiair!G16</f>
        <v>0</v>
      </c>
      <c r="H5" s="452">
        <f>tertiair!H16</f>
        <v>0</v>
      </c>
      <c r="I5" s="452">
        <f>tertiair!I16</f>
        <v>0</v>
      </c>
      <c r="J5" s="452">
        <f>tertiair!J16</f>
        <v>0</v>
      </c>
      <c r="K5" s="452">
        <f>tertiair!K16</f>
        <v>0</v>
      </c>
      <c r="L5" s="452">
        <f ca="1">tertiair!L16</f>
        <v>0</v>
      </c>
      <c r="M5" s="452">
        <f>tertiair!M16</f>
        <v>0</v>
      </c>
      <c r="N5" s="452">
        <f ca="1">tertiair!N16</f>
        <v>1213.630928771981</v>
      </c>
      <c r="O5" s="452">
        <f>tertiair!O16</f>
        <v>0</v>
      </c>
      <c r="P5" s="453">
        <f>tertiair!P16</f>
        <v>19.066666666666666</v>
      </c>
      <c r="Q5" s="451">
        <f t="shared" ref="Q5:Q14" ca="1" si="0">SUM(B5:P5)</f>
        <v>25507.027364948652</v>
      </c>
    </row>
    <row r="6" spans="1:17">
      <c r="A6" s="451" t="s">
        <v>193</v>
      </c>
      <c r="B6" s="452">
        <f>'openbare verlichting'!B8</f>
        <v>880.13699999999994</v>
      </c>
      <c r="C6" s="452"/>
      <c r="D6" s="452"/>
      <c r="E6" s="452"/>
      <c r="F6" s="452"/>
      <c r="G6" s="452"/>
      <c r="H6" s="452"/>
      <c r="I6" s="452"/>
      <c r="J6" s="452"/>
      <c r="K6" s="452"/>
      <c r="L6" s="452"/>
      <c r="M6" s="452"/>
      <c r="N6" s="452"/>
      <c r="O6" s="452"/>
      <c r="P6" s="453"/>
      <c r="Q6" s="451">
        <f t="shared" si="0"/>
        <v>880.13699999999994</v>
      </c>
    </row>
    <row r="7" spans="1:17">
      <c r="A7" s="451" t="s">
        <v>111</v>
      </c>
      <c r="B7" s="452">
        <f>landbouw!B8</f>
        <v>4786.8703700000005</v>
      </c>
      <c r="C7" s="452">
        <f>landbouw!C8</f>
        <v>18192.857142857145</v>
      </c>
      <c r="D7" s="452">
        <f>landbouw!D8</f>
        <v>661.75354354784224</v>
      </c>
      <c r="E7" s="452">
        <f>landbouw!E8</f>
        <v>44.337998292547589</v>
      </c>
      <c r="F7" s="452">
        <f>landbouw!F8</f>
        <v>12145.20202655968</v>
      </c>
      <c r="G7" s="452">
        <f>landbouw!G8</f>
        <v>0</v>
      </c>
      <c r="H7" s="452">
        <f>landbouw!H8</f>
        <v>0</v>
      </c>
      <c r="I7" s="452">
        <f>landbouw!I8</f>
        <v>0</v>
      </c>
      <c r="J7" s="452">
        <f>landbouw!J8</f>
        <v>733.88064935024556</v>
      </c>
      <c r="K7" s="452">
        <f>landbouw!K8</f>
        <v>0</v>
      </c>
      <c r="L7" s="452">
        <f>landbouw!L8</f>
        <v>0</v>
      </c>
      <c r="M7" s="452">
        <f>landbouw!M8</f>
        <v>0</v>
      </c>
      <c r="N7" s="452">
        <f>landbouw!N8</f>
        <v>0</v>
      </c>
      <c r="O7" s="452">
        <f>landbouw!O8</f>
        <v>0</v>
      </c>
      <c r="P7" s="453">
        <f>landbouw!P8</f>
        <v>0</v>
      </c>
      <c r="Q7" s="451">
        <f t="shared" si="0"/>
        <v>36564.901730607467</v>
      </c>
    </row>
    <row r="8" spans="1:17">
      <c r="A8" s="451" t="s">
        <v>649</v>
      </c>
      <c r="B8" s="452">
        <f>industrie!B18</f>
        <v>4889.5111299999999</v>
      </c>
      <c r="C8" s="452">
        <f>industrie!C18</f>
        <v>0</v>
      </c>
      <c r="D8" s="452">
        <f>industrie!D18</f>
        <v>748.78295275317373</v>
      </c>
      <c r="E8" s="452">
        <f>industrie!E18</f>
        <v>1017.7143416102621</v>
      </c>
      <c r="F8" s="452">
        <f>industrie!F18</f>
        <v>3450.9539983603622</v>
      </c>
      <c r="G8" s="452">
        <f>industrie!G18</f>
        <v>0</v>
      </c>
      <c r="H8" s="452">
        <f>industrie!H18</f>
        <v>0</v>
      </c>
      <c r="I8" s="452">
        <f>industrie!I18</f>
        <v>0</v>
      </c>
      <c r="J8" s="452">
        <f>industrie!J18</f>
        <v>10.03443323593843</v>
      </c>
      <c r="K8" s="452">
        <f>industrie!K18</f>
        <v>0</v>
      </c>
      <c r="L8" s="452">
        <f>industrie!L18</f>
        <v>0</v>
      </c>
      <c r="M8" s="452">
        <f>industrie!M18</f>
        <v>0</v>
      </c>
      <c r="N8" s="452">
        <f>industrie!N18</f>
        <v>462.24793948244343</v>
      </c>
      <c r="O8" s="452">
        <f>industrie!O18</f>
        <v>0</v>
      </c>
      <c r="P8" s="453">
        <f>industrie!P18</f>
        <v>0</v>
      </c>
      <c r="Q8" s="451">
        <f t="shared" si="0"/>
        <v>10579.24479544218</v>
      </c>
    </row>
    <row r="9" spans="1:17" s="457" customFormat="1">
      <c r="A9" s="455" t="s">
        <v>570</v>
      </c>
      <c r="B9" s="456">
        <f>transport!B14</f>
        <v>5.9184373563075559</v>
      </c>
      <c r="C9" s="456">
        <f>transport!C14</f>
        <v>0</v>
      </c>
      <c r="D9" s="456">
        <f>transport!D14</f>
        <v>13.559291958598774</v>
      </c>
      <c r="E9" s="456">
        <f>transport!E14</f>
        <v>127.29211165164652</v>
      </c>
      <c r="F9" s="456">
        <f>transport!F14</f>
        <v>0</v>
      </c>
      <c r="G9" s="456">
        <f>transport!G14</f>
        <v>38474.291993757448</v>
      </c>
      <c r="H9" s="456">
        <f>transport!H14</f>
        <v>8139.9121155000521</v>
      </c>
      <c r="I9" s="456">
        <f>transport!I14</f>
        <v>0</v>
      </c>
      <c r="J9" s="456">
        <f>transport!J14</f>
        <v>0</v>
      </c>
      <c r="K9" s="456">
        <f>transport!K14</f>
        <v>0</v>
      </c>
      <c r="L9" s="456">
        <f>transport!L14</f>
        <v>0</v>
      </c>
      <c r="M9" s="456">
        <f>transport!M14</f>
        <v>2478.9205158200784</v>
      </c>
      <c r="N9" s="456">
        <f>transport!N14</f>
        <v>0</v>
      </c>
      <c r="O9" s="456">
        <f>transport!O14</f>
        <v>0</v>
      </c>
      <c r="P9" s="456">
        <f>transport!P14</f>
        <v>0</v>
      </c>
      <c r="Q9" s="455">
        <f>SUM(B9:P9)</f>
        <v>49239.894466044134</v>
      </c>
    </row>
    <row r="10" spans="1:17">
      <c r="A10" s="451" t="s">
        <v>560</v>
      </c>
      <c r="B10" s="452">
        <f>transport!B54</f>
        <v>0</v>
      </c>
      <c r="C10" s="452">
        <f>transport!C54</f>
        <v>0</v>
      </c>
      <c r="D10" s="452">
        <f>transport!D54</f>
        <v>0</v>
      </c>
      <c r="E10" s="452">
        <f>transport!E54</f>
        <v>0</v>
      </c>
      <c r="F10" s="452">
        <f>transport!F54</f>
        <v>0</v>
      </c>
      <c r="G10" s="452">
        <f>transport!G54</f>
        <v>604.69023936079032</v>
      </c>
      <c r="H10" s="452">
        <f>transport!H54</f>
        <v>0</v>
      </c>
      <c r="I10" s="452">
        <f>transport!I54</f>
        <v>0</v>
      </c>
      <c r="J10" s="452">
        <f>transport!J54</f>
        <v>0</v>
      </c>
      <c r="K10" s="452">
        <f>transport!K54</f>
        <v>0</v>
      </c>
      <c r="L10" s="452">
        <f>transport!L54</f>
        <v>0</v>
      </c>
      <c r="M10" s="452">
        <f>transport!M54</f>
        <v>34.56225358141063</v>
      </c>
      <c r="N10" s="452">
        <f>transport!N54</f>
        <v>0</v>
      </c>
      <c r="O10" s="452">
        <f>transport!O54</f>
        <v>0</v>
      </c>
      <c r="P10" s="453">
        <f>transport!P54</f>
        <v>0</v>
      </c>
      <c r="Q10" s="451">
        <f t="shared" si="0"/>
        <v>639.25249294220089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829.2958000000001</v>
      </c>
      <c r="C14" s="459"/>
      <c r="D14" s="459">
        <f>'SEAP template'!E25</f>
        <v>410.847681682315</v>
      </c>
      <c r="E14" s="459"/>
      <c r="F14" s="459"/>
      <c r="G14" s="459"/>
      <c r="H14" s="459"/>
      <c r="I14" s="459"/>
      <c r="J14" s="459"/>
      <c r="K14" s="459"/>
      <c r="L14" s="459"/>
      <c r="M14" s="459"/>
      <c r="N14" s="459"/>
      <c r="O14" s="459"/>
      <c r="P14" s="460"/>
      <c r="Q14" s="451">
        <f t="shared" si="0"/>
        <v>1240.143481682315</v>
      </c>
    </row>
    <row r="15" spans="1:17" s="461" customFormat="1">
      <c r="A15" s="1017" t="s">
        <v>564</v>
      </c>
      <c r="B15" s="957">
        <f ca="1">SUM(B4:B14)</f>
        <v>43115.973956690621</v>
      </c>
      <c r="C15" s="957">
        <f t="shared" ref="C15:Q15" ca="1" si="1">SUM(C4:C14)</f>
        <v>18192.857142857145</v>
      </c>
      <c r="D15" s="957">
        <f t="shared" ca="1" si="1"/>
        <v>27837.280888326746</v>
      </c>
      <c r="E15" s="957">
        <f t="shared" si="1"/>
        <v>47824.889391015895</v>
      </c>
      <c r="F15" s="957">
        <f t="shared" ca="1" si="1"/>
        <v>36177.272032131361</v>
      </c>
      <c r="G15" s="957">
        <f t="shared" si="1"/>
        <v>39078.982233118237</v>
      </c>
      <c r="H15" s="957">
        <f t="shared" si="1"/>
        <v>8139.9121155000521</v>
      </c>
      <c r="I15" s="957">
        <f t="shared" si="1"/>
        <v>0</v>
      </c>
      <c r="J15" s="957">
        <f t="shared" si="1"/>
        <v>6180.3875058689919</v>
      </c>
      <c r="K15" s="957">
        <f t="shared" si="1"/>
        <v>0</v>
      </c>
      <c r="L15" s="957">
        <f t="shared" ca="1" si="1"/>
        <v>0</v>
      </c>
      <c r="M15" s="957">
        <f t="shared" si="1"/>
        <v>2513.4827694014889</v>
      </c>
      <c r="N15" s="957">
        <f t="shared" ca="1" si="1"/>
        <v>14894.76989351818</v>
      </c>
      <c r="O15" s="957">
        <f t="shared" si="1"/>
        <v>201.67000000000004</v>
      </c>
      <c r="P15" s="957">
        <f t="shared" si="1"/>
        <v>228.8</v>
      </c>
      <c r="Q15" s="957">
        <f t="shared" ca="1" si="1"/>
        <v>244386.27792842875</v>
      </c>
    </row>
    <row r="17" spans="1:17">
      <c r="A17" s="462" t="s">
        <v>565</v>
      </c>
      <c r="B17" s="761">
        <f ca="1">huishoudens!B10</f>
        <v>0.12574415316509738</v>
      </c>
      <c r="C17" s="761">
        <f ca="1">huishoudens!C10</f>
        <v>6.5313286680985699E-6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2200.9687979269793</v>
      </c>
      <c r="C22" s="452">
        <f t="shared" ref="C22:C32" ca="1" si="3">C4*$C$17</f>
        <v>0</v>
      </c>
      <c r="D22" s="452">
        <f t="shared" ref="D22:D32" si="4">D4*$D$17</f>
        <v>3666.3912539741527</v>
      </c>
      <c r="E22" s="452">
        <f t="shared" ref="E22:E32" si="5">E4*$E$17</f>
        <v>10557.580919083868</v>
      </c>
      <c r="F22" s="452">
        <f t="shared" ref="F22:F32" si="6">F4*$F$17</f>
        <v>4941.0334340737154</v>
      </c>
      <c r="G22" s="452">
        <f t="shared" ref="G22:G32" si="7">G4*$G$17</f>
        <v>0</v>
      </c>
      <c r="H22" s="452">
        <f t="shared" ref="H22:H32" si="8">H4*$H$17</f>
        <v>0</v>
      </c>
      <c r="I22" s="452">
        <f t="shared" ref="I22:I32" si="9">I4*$I$17</f>
        <v>0</v>
      </c>
      <c r="J22" s="452">
        <f t="shared" ref="J22:J32" si="10">J4*$J$17</f>
        <v>1924.511237842114</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23290.485642900832</v>
      </c>
    </row>
    <row r="23" spans="1:17">
      <c r="A23" s="451" t="s">
        <v>155</v>
      </c>
      <c r="B23" s="452">
        <f t="shared" ca="1" si="2"/>
        <v>1788.1690490034894</v>
      </c>
      <c r="C23" s="452">
        <f t="shared" ca="1" si="3"/>
        <v>0</v>
      </c>
      <c r="D23" s="452">
        <f t="shared" ca="1" si="4"/>
        <v>1586.0809045395806</v>
      </c>
      <c r="E23" s="452">
        <f t="shared" si="5"/>
        <v>28.687782173879359</v>
      </c>
      <c r="F23" s="452">
        <f t="shared" ca="1" si="6"/>
        <v>554.12453985170748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3957.0622755686568</v>
      </c>
    </row>
    <row r="24" spans="1:17">
      <c r="A24" s="451" t="s">
        <v>193</v>
      </c>
      <c r="B24" s="452">
        <f t="shared" ca="1" si="2"/>
        <v>110.6720817342693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110.6720817342693</v>
      </c>
    </row>
    <row r="25" spans="1:17">
      <c r="A25" s="451" t="s">
        <v>111</v>
      </c>
      <c r="B25" s="452">
        <f t="shared" ca="1" si="2"/>
        <v>601.92096098674642</v>
      </c>
      <c r="C25" s="452">
        <f t="shared" ca="1" si="3"/>
        <v>0.11882352941176472</v>
      </c>
      <c r="D25" s="452">
        <f t="shared" si="4"/>
        <v>133.67421579666413</v>
      </c>
      <c r="E25" s="452">
        <f t="shared" si="5"/>
        <v>10.064725612408303</v>
      </c>
      <c r="F25" s="452">
        <f t="shared" si="6"/>
        <v>3242.768941091435</v>
      </c>
      <c r="G25" s="452">
        <f t="shared" si="7"/>
        <v>0</v>
      </c>
      <c r="H25" s="452">
        <f t="shared" si="8"/>
        <v>0</v>
      </c>
      <c r="I25" s="452">
        <f t="shared" si="9"/>
        <v>0</v>
      </c>
      <c r="J25" s="452">
        <f t="shared" si="10"/>
        <v>259.79374986998693</v>
      </c>
      <c r="K25" s="452">
        <f t="shared" si="11"/>
        <v>0</v>
      </c>
      <c r="L25" s="452">
        <f t="shared" si="12"/>
        <v>0</v>
      </c>
      <c r="M25" s="452">
        <f t="shared" si="13"/>
        <v>0</v>
      </c>
      <c r="N25" s="452">
        <f t="shared" si="14"/>
        <v>0</v>
      </c>
      <c r="O25" s="452">
        <f t="shared" si="15"/>
        <v>0</v>
      </c>
      <c r="P25" s="453">
        <f t="shared" si="16"/>
        <v>0</v>
      </c>
      <c r="Q25" s="451">
        <f t="shared" ca="1" si="17"/>
        <v>4248.341416886652</v>
      </c>
    </row>
    <row r="26" spans="1:17">
      <c r="A26" s="451" t="s">
        <v>649</v>
      </c>
      <c r="B26" s="452">
        <f t="shared" ca="1" si="2"/>
        <v>614.82743643316837</v>
      </c>
      <c r="C26" s="452">
        <f t="shared" ca="1" si="3"/>
        <v>0</v>
      </c>
      <c r="D26" s="452">
        <f t="shared" si="4"/>
        <v>151.25415645614109</v>
      </c>
      <c r="E26" s="452">
        <f t="shared" si="5"/>
        <v>231.0211555455295</v>
      </c>
      <c r="F26" s="452">
        <f t="shared" si="6"/>
        <v>921.40471756221677</v>
      </c>
      <c r="G26" s="452">
        <f t="shared" si="7"/>
        <v>0</v>
      </c>
      <c r="H26" s="452">
        <f t="shared" si="8"/>
        <v>0</v>
      </c>
      <c r="I26" s="452">
        <f t="shared" si="9"/>
        <v>0</v>
      </c>
      <c r="J26" s="452">
        <f t="shared" si="10"/>
        <v>3.5521893655222039</v>
      </c>
      <c r="K26" s="452">
        <f t="shared" si="11"/>
        <v>0</v>
      </c>
      <c r="L26" s="452">
        <f t="shared" si="12"/>
        <v>0</v>
      </c>
      <c r="M26" s="452">
        <f t="shared" si="13"/>
        <v>0</v>
      </c>
      <c r="N26" s="452">
        <f t="shared" si="14"/>
        <v>0</v>
      </c>
      <c r="O26" s="452">
        <f t="shared" si="15"/>
        <v>0</v>
      </c>
      <c r="P26" s="453">
        <f t="shared" si="16"/>
        <v>0</v>
      </c>
      <c r="Q26" s="451">
        <f t="shared" ca="1" si="17"/>
        <v>1922.059655362578</v>
      </c>
    </row>
    <row r="27" spans="1:17" s="457" customFormat="1">
      <c r="A27" s="455" t="s">
        <v>570</v>
      </c>
      <c r="B27" s="755">
        <f t="shared" ca="1" si="2"/>
        <v>0.74420889342957131</v>
      </c>
      <c r="C27" s="456">
        <f t="shared" ca="1" si="3"/>
        <v>0</v>
      </c>
      <c r="D27" s="456">
        <f t="shared" si="4"/>
        <v>2.7389769756369526</v>
      </c>
      <c r="E27" s="456">
        <f t="shared" si="5"/>
        <v>28.89530934492376</v>
      </c>
      <c r="F27" s="456">
        <f t="shared" si="6"/>
        <v>0</v>
      </c>
      <c r="G27" s="456">
        <f t="shared" si="7"/>
        <v>10272.635962333239</v>
      </c>
      <c r="H27" s="456">
        <f t="shared" si="8"/>
        <v>2026.838116759513</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12331.852574306742</v>
      </c>
    </row>
    <row r="28" spans="1:17">
      <c r="A28" s="451" t="s">
        <v>560</v>
      </c>
      <c r="B28" s="452">
        <f t="shared" ca="1" si="2"/>
        <v>0</v>
      </c>
      <c r="C28" s="452">
        <f t="shared" ca="1" si="3"/>
        <v>0</v>
      </c>
      <c r="D28" s="452">
        <f t="shared" si="4"/>
        <v>0</v>
      </c>
      <c r="E28" s="452">
        <f t="shared" si="5"/>
        <v>0</v>
      </c>
      <c r="F28" s="452">
        <f t="shared" si="6"/>
        <v>0</v>
      </c>
      <c r="G28" s="452">
        <f t="shared" si="7"/>
        <v>161.45229390933102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161.45229390933102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104.27909809437197</v>
      </c>
      <c r="C32" s="452">
        <f t="shared" ca="1" si="3"/>
        <v>0</v>
      </c>
      <c r="D32" s="452">
        <f t="shared" si="4"/>
        <v>82.991231699827637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187.2703297941996</v>
      </c>
    </row>
    <row r="33" spans="1:17" s="461" customFormat="1">
      <c r="A33" s="1017" t="s">
        <v>564</v>
      </c>
      <c r="B33" s="957">
        <f ca="1">SUM(B22:B32)</f>
        <v>5421.5816330724538</v>
      </c>
      <c r="C33" s="957">
        <f t="shared" ref="C33:Q33" ca="1" si="18">SUM(C22:C32)</f>
        <v>0.11882352941176472</v>
      </c>
      <c r="D33" s="957">
        <f t="shared" ca="1" si="18"/>
        <v>5623.1307394420028</v>
      </c>
      <c r="E33" s="957">
        <f t="shared" si="18"/>
        <v>10856.24989176061</v>
      </c>
      <c r="F33" s="957">
        <f t="shared" ca="1" si="18"/>
        <v>9659.3316325790747</v>
      </c>
      <c r="G33" s="957">
        <f t="shared" si="18"/>
        <v>10434.08825624257</v>
      </c>
      <c r="H33" s="957">
        <f t="shared" si="18"/>
        <v>2026.838116759513</v>
      </c>
      <c r="I33" s="957">
        <f t="shared" si="18"/>
        <v>0</v>
      </c>
      <c r="J33" s="957">
        <f t="shared" si="18"/>
        <v>2187.8571770776234</v>
      </c>
      <c r="K33" s="957">
        <f t="shared" si="18"/>
        <v>0</v>
      </c>
      <c r="L33" s="957">
        <f t="shared" ca="1" si="18"/>
        <v>0</v>
      </c>
      <c r="M33" s="957">
        <f t="shared" si="18"/>
        <v>0</v>
      </c>
      <c r="N33" s="957">
        <f t="shared" ca="1" si="18"/>
        <v>0</v>
      </c>
      <c r="O33" s="957">
        <f t="shared" si="18"/>
        <v>0</v>
      </c>
      <c r="P33" s="957">
        <f t="shared" si="18"/>
        <v>0</v>
      </c>
      <c r="Q33" s="957">
        <f t="shared" ca="1" si="18"/>
        <v>46209.196270463261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5849.3067322477855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12734.650009618894</v>
      </c>
      <c r="C8" s="1034">
        <f>'SEAP template'!C76</f>
        <v>0.34999038110456321</v>
      </c>
      <c r="D8" s="1034">
        <f>'SEAP template'!D76</f>
        <v>0.41176470588235292</v>
      </c>
      <c r="E8" s="1034">
        <f>'SEAP template'!E76</f>
        <v>0</v>
      </c>
      <c r="F8" s="1034">
        <f>'SEAP template'!F76</f>
        <v>0</v>
      </c>
      <c r="G8" s="1034">
        <f>'SEAP template'!G76</f>
        <v>0</v>
      </c>
      <c r="H8" s="1034">
        <f>'SEAP template'!H76</f>
        <v>0</v>
      </c>
      <c r="I8" s="1034">
        <f>'SEAP template'!I76</f>
        <v>0</v>
      </c>
      <c r="J8" s="1034">
        <f>'SEAP template'!J76</f>
        <v>14982.352941176472</v>
      </c>
      <c r="K8" s="1034">
        <f>'SEAP template'!K76</f>
        <v>0</v>
      </c>
      <c r="L8" s="1034">
        <f>'SEAP template'!L76</f>
        <v>0</v>
      </c>
      <c r="M8" s="1034">
        <f>'SEAP template'!M76</f>
        <v>0</v>
      </c>
      <c r="N8" s="1034">
        <f>'SEAP template'!N76</f>
        <v>0</v>
      </c>
      <c r="O8" s="1034">
        <f>'SEAP template'!O76</f>
        <v>0</v>
      </c>
      <c r="P8" s="1035">
        <f>'SEAP template'!Q76</f>
        <v>8.3176470588235296E-2</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18583.956741866677</v>
      </c>
      <c r="C10" s="1038">
        <f>SUM(C4:C9)</f>
        <v>0.34999038110456321</v>
      </c>
      <c r="D10" s="1038">
        <f t="shared" ref="D10:H10" si="0">SUM(D8:D9)</f>
        <v>0.41176470588235292</v>
      </c>
      <c r="E10" s="1038">
        <f t="shared" si="0"/>
        <v>0</v>
      </c>
      <c r="F10" s="1038">
        <f t="shared" si="0"/>
        <v>0</v>
      </c>
      <c r="G10" s="1038">
        <f t="shared" si="0"/>
        <v>0</v>
      </c>
      <c r="H10" s="1038">
        <f t="shared" si="0"/>
        <v>0</v>
      </c>
      <c r="I10" s="1038">
        <f>SUM(I8:I9)</f>
        <v>0</v>
      </c>
      <c r="J10" s="1038">
        <f>SUM(J8:J9)</f>
        <v>14982.352941176472</v>
      </c>
      <c r="K10" s="1038">
        <f t="shared" ref="K10:L10" si="1">SUM(K8:K9)</f>
        <v>0</v>
      </c>
      <c r="L10" s="1038">
        <f t="shared" si="1"/>
        <v>0</v>
      </c>
      <c r="M10" s="1038">
        <f>SUM(M8:M9)</f>
        <v>0</v>
      </c>
      <c r="N10" s="1038">
        <f>SUM(N8:N9)</f>
        <v>0</v>
      </c>
      <c r="O10" s="1038">
        <f>SUM(O8:O9)</f>
        <v>0</v>
      </c>
      <c r="P10" s="1038">
        <f>SUM(P8:P9)</f>
        <v>8.3176470588235296E-2</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0.12574415316509738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18192.357156598424</v>
      </c>
      <c r="C17" s="1040">
        <f>'SEAP template'!C87</f>
        <v>0.49998625872080465</v>
      </c>
      <c r="D17" s="1035">
        <f>'SEAP template'!D87</f>
        <v>0.58823529411764708</v>
      </c>
      <c r="E17" s="1035">
        <f>'SEAP template'!E87</f>
        <v>0</v>
      </c>
      <c r="F17" s="1035">
        <f>'SEAP template'!F87</f>
        <v>0</v>
      </c>
      <c r="G17" s="1035">
        <f>'SEAP template'!G87</f>
        <v>0</v>
      </c>
      <c r="H17" s="1035">
        <f>'SEAP template'!H87</f>
        <v>0</v>
      </c>
      <c r="I17" s="1035">
        <f>'SEAP template'!I87</f>
        <v>0</v>
      </c>
      <c r="J17" s="1035">
        <f>'SEAP template'!J87</f>
        <v>21403.361344537818</v>
      </c>
      <c r="K17" s="1035">
        <f>'SEAP template'!K87</f>
        <v>0</v>
      </c>
      <c r="L17" s="1035">
        <f>'SEAP template'!L87</f>
        <v>0</v>
      </c>
      <c r="M17" s="1035">
        <f>'SEAP template'!M87</f>
        <v>0</v>
      </c>
      <c r="N17" s="1035">
        <f>'SEAP template'!N87</f>
        <v>0</v>
      </c>
      <c r="O17" s="1035">
        <f>'SEAP template'!O87</f>
        <v>0</v>
      </c>
      <c r="P17" s="1035">
        <f>'SEAP template'!Q87</f>
        <v>0.11882352941176472</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18192.357156598424</v>
      </c>
      <c r="C20" s="1038">
        <f>SUM(C17:C19)</f>
        <v>0.49998625872080465</v>
      </c>
      <c r="D20" s="1038">
        <f t="shared" ref="D20:H20" si="2">SUM(D17:D19)</f>
        <v>0.58823529411764708</v>
      </c>
      <c r="E20" s="1038">
        <f t="shared" si="2"/>
        <v>0</v>
      </c>
      <c r="F20" s="1038">
        <f t="shared" si="2"/>
        <v>0</v>
      </c>
      <c r="G20" s="1038">
        <f t="shared" si="2"/>
        <v>0</v>
      </c>
      <c r="H20" s="1038">
        <f t="shared" si="2"/>
        <v>0</v>
      </c>
      <c r="I20" s="1038">
        <f>SUM(I17:I19)</f>
        <v>0</v>
      </c>
      <c r="J20" s="1038">
        <f>SUM(J17:J19)</f>
        <v>21403.361344537818</v>
      </c>
      <c r="K20" s="1038">
        <f t="shared" ref="K20:L20" si="3">SUM(K17:K19)</f>
        <v>0</v>
      </c>
      <c r="L20" s="1038">
        <f t="shared" si="3"/>
        <v>0</v>
      </c>
      <c r="M20" s="1038">
        <f>SUM(M17:M19)</f>
        <v>0</v>
      </c>
      <c r="N20" s="1038">
        <f>SUM(N17:N19)</f>
        <v>0</v>
      </c>
      <c r="O20" s="1038">
        <f>SUM(O17:O19)</f>
        <v>0</v>
      </c>
      <c r="P20" s="1038">
        <f>SUM(P17:P19)</f>
        <v>0.11882352941176472</v>
      </c>
    </row>
    <row r="22" spans="1:16">
      <c r="A22" s="462" t="s">
        <v>873</v>
      </c>
      <c r="B22" s="761" t="s">
        <v>867</v>
      </c>
      <c r="C22" s="761">
        <f ca="1">'EF ele_warmte'!B22</f>
        <v>6.5313286680985699E-6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0.12574415316509738</v>
      </c>
      <c r="C17" s="499">
        <f ca="1">'EF ele_warmte'!B22</f>
        <v>6.5313286680985699E-6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0.12574415316509738</v>
      </c>
      <c r="C17" s="499">
        <f ca="1">'EF ele_warmte'!B22</f>
        <v>6.5313286680985699E-6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0.12574415316509738</v>
      </c>
      <c r="C29" s="500">
        <f ca="1">'EF ele_warmte'!B22</f>
        <v>6.5313286680985699E-6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3957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4086</v>
      </c>
      <c r="C14" s="330"/>
      <c r="D14" s="330"/>
      <c r="E14" s="330"/>
      <c r="F14" s="330"/>
    </row>
    <row r="15" spans="1:6">
      <c r="A15" s="1305" t="s">
        <v>183</v>
      </c>
      <c r="B15" s="1306">
        <v>52</v>
      </c>
      <c r="C15" s="330"/>
      <c r="D15" s="330"/>
      <c r="E15" s="330"/>
      <c r="F15" s="330"/>
    </row>
    <row r="16" spans="1:6">
      <c r="A16" s="1305" t="s">
        <v>6</v>
      </c>
      <c r="B16" s="1306">
        <v>1499</v>
      </c>
      <c r="C16" s="330"/>
      <c r="D16" s="330"/>
      <c r="E16" s="330"/>
      <c r="F16" s="330"/>
    </row>
    <row r="17" spans="1:6">
      <c r="A17" s="1305" t="s">
        <v>7</v>
      </c>
      <c r="B17" s="1306">
        <v>1266</v>
      </c>
      <c r="C17" s="330"/>
      <c r="D17" s="330"/>
      <c r="E17" s="330"/>
      <c r="F17" s="330"/>
    </row>
    <row r="18" spans="1:6">
      <c r="A18" s="1305" t="s">
        <v>8</v>
      </c>
      <c r="B18" s="1306">
        <v>1702</v>
      </c>
      <c r="C18" s="330"/>
      <c r="D18" s="330"/>
      <c r="E18" s="330"/>
      <c r="F18" s="330"/>
    </row>
    <row r="19" spans="1:6">
      <c r="A19" s="1305" t="s">
        <v>9</v>
      </c>
      <c r="B19" s="1306">
        <v>1602</v>
      </c>
      <c r="C19" s="330"/>
      <c r="D19" s="330"/>
      <c r="E19" s="330"/>
      <c r="F19" s="330"/>
    </row>
    <row r="20" spans="1:6">
      <c r="A20" s="1305" t="s">
        <v>10</v>
      </c>
      <c r="B20" s="1306">
        <v>1195</v>
      </c>
      <c r="C20" s="330"/>
      <c r="D20" s="330"/>
      <c r="E20" s="330"/>
      <c r="F20" s="330"/>
    </row>
    <row r="21" spans="1:6">
      <c r="A21" s="1305" t="s">
        <v>11</v>
      </c>
      <c r="B21" s="1306">
        <v>25309</v>
      </c>
      <c r="C21" s="330"/>
      <c r="D21" s="330"/>
      <c r="E21" s="330"/>
      <c r="F21" s="330"/>
    </row>
    <row r="22" spans="1:6">
      <c r="A22" s="1305" t="s">
        <v>12</v>
      </c>
      <c r="B22" s="1306">
        <v>42760</v>
      </c>
      <c r="C22" s="330"/>
      <c r="D22" s="330"/>
      <c r="E22" s="330"/>
      <c r="F22" s="330"/>
    </row>
    <row r="23" spans="1:6">
      <c r="A23" s="1305" t="s">
        <v>13</v>
      </c>
      <c r="B23" s="1306">
        <v>1219</v>
      </c>
      <c r="C23" s="330"/>
      <c r="D23" s="330"/>
      <c r="E23" s="330"/>
      <c r="F23" s="330"/>
    </row>
    <row r="24" spans="1:6">
      <c r="A24" s="1305" t="s">
        <v>14</v>
      </c>
      <c r="B24" s="1306">
        <v>51</v>
      </c>
      <c r="C24" s="330"/>
      <c r="D24" s="330"/>
      <c r="E24" s="330"/>
      <c r="F24" s="330"/>
    </row>
    <row r="25" spans="1:6">
      <c r="A25" s="1305" t="s">
        <v>15</v>
      </c>
      <c r="B25" s="1306">
        <v>6940</v>
      </c>
      <c r="C25" s="330"/>
      <c r="D25" s="330"/>
      <c r="E25" s="330"/>
      <c r="F25" s="330"/>
    </row>
    <row r="26" spans="1:6">
      <c r="A26" s="1305" t="s">
        <v>16</v>
      </c>
      <c r="B26" s="1306">
        <v>349</v>
      </c>
      <c r="C26" s="330"/>
      <c r="D26" s="330"/>
      <c r="E26" s="330"/>
      <c r="F26" s="330"/>
    </row>
    <row r="27" spans="1:6">
      <c r="A27" s="1305" t="s">
        <v>17</v>
      </c>
      <c r="B27" s="1306">
        <v>16</v>
      </c>
      <c r="C27" s="330"/>
      <c r="D27" s="330"/>
      <c r="E27" s="330"/>
      <c r="F27" s="330"/>
    </row>
    <row r="28" spans="1:6" s="43" customFormat="1">
      <c r="A28" s="1307" t="s">
        <v>18</v>
      </c>
      <c r="B28" s="1308">
        <v>102580</v>
      </c>
      <c r="C28" s="336"/>
      <c r="D28" s="336"/>
      <c r="E28" s="336"/>
      <c r="F28" s="336"/>
    </row>
    <row r="29" spans="1:6">
      <c r="A29" s="1307" t="s">
        <v>909</v>
      </c>
      <c r="B29" s="1308">
        <v>37</v>
      </c>
      <c r="C29" s="336"/>
      <c r="D29" s="336"/>
      <c r="E29" s="336"/>
      <c r="F29" s="336"/>
    </row>
    <row r="30" spans="1:6">
      <c r="A30" s="1300" t="s">
        <v>910</v>
      </c>
      <c r="B30" s="1309">
        <v>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130279.58943879</v>
      </c>
      <c r="E38" s="1306">
        <v>2</v>
      </c>
      <c r="F38" s="1306">
        <v>5175.7</v>
      </c>
    </row>
    <row r="39" spans="1:6">
      <c r="A39" s="1305" t="s">
        <v>29</v>
      </c>
      <c r="B39" s="1305" t="s">
        <v>30</v>
      </c>
      <c r="C39" s="1306">
        <v>1546</v>
      </c>
      <c r="D39" s="1306">
        <v>20122452.053600099</v>
      </c>
      <c r="E39" s="1306">
        <v>3757</v>
      </c>
      <c r="F39" s="1306">
        <v>14981276</v>
      </c>
    </row>
    <row r="40" spans="1:6">
      <c r="A40" s="1305" t="s">
        <v>29</v>
      </c>
      <c r="B40" s="1305" t="s">
        <v>28</v>
      </c>
      <c r="C40" s="1306">
        <v>0</v>
      </c>
      <c r="D40" s="1306">
        <v>0</v>
      </c>
      <c r="E40" s="1306">
        <v>1</v>
      </c>
      <c r="F40" s="1306">
        <v>2250</v>
      </c>
    </row>
    <row r="41" spans="1:6">
      <c r="A41" s="1305" t="s">
        <v>31</v>
      </c>
      <c r="B41" s="1305" t="s">
        <v>32</v>
      </c>
      <c r="C41" s="1306">
        <v>30</v>
      </c>
      <c r="D41" s="1306">
        <v>429648.92004627502</v>
      </c>
      <c r="E41" s="1306">
        <v>97</v>
      </c>
      <c r="F41" s="1306">
        <v>3482756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7</v>
      </c>
      <c r="F44" s="1306">
        <v>85514.03</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13</v>
      </c>
      <c r="D48" s="1306">
        <v>218613.465887211</v>
      </c>
      <c r="E48" s="1306">
        <v>22</v>
      </c>
      <c r="F48" s="1306">
        <v>1093690</v>
      </c>
    </row>
    <row r="49" spans="1:6">
      <c r="A49" s="1305" t="s">
        <v>31</v>
      </c>
      <c r="B49" s="1305" t="s">
        <v>39</v>
      </c>
      <c r="C49" s="1306">
        <v>0</v>
      </c>
      <c r="D49" s="1306">
        <v>0</v>
      </c>
      <c r="E49" s="1306">
        <v>0</v>
      </c>
      <c r="F49" s="1306">
        <v>0</v>
      </c>
    </row>
    <row r="50" spans="1:6">
      <c r="A50" s="1305" t="s">
        <v>31</v>
      </c>
      <c r="B50" s="1305" t="s">
        <v>40</v>
      </c>
      <c r="C50" s="1306">
        <v>3</v>
      </c>
      <c r="D50" s="1306">
        <v>181873.92532280399</v>
      </c>
      <c r="E50" s="1306">
        <v>6</v>
      </c>
      <c r="F50" s="1306">
        <v>227551.1</v>
      </c>
    </row>
    <row r="51" spans="1:6">
      <c r="A51" s="1305" t="s">
        <v>41</v>
      </c>
      <c r="B51" s="1305" t="s">
        <v>42</v>
      </c>
      <c r="C51" s="1306">
        <v>5</v>
      </c>
      <c r="D51" s="1306">
        <v>53851.616622374298</v>
      </c>
      <c r="E51" s="1306">
        <v>184</v>
      </c>
      <c r="F51" s="1306">
        <v>4771994</v>
      </c>
    </row>
    <row r="52" spans="1:6">
      <c r="A52" s="1305" t="s">
        <v>41</v>
      </c>
      <c r="B52" s="1305" t="s">
        <v>28</v>
      </c>
      <c r="C52" s="1306">
        <v>5</v>
      </c>
      <c r="D52" s="1306">
        <v>680908.40948388097</v>
      </c>
      <c r="E52" s="1306">
        <v>2</v>
      </c>
      <c r="F52" s="1306">
        <v>14876.37</v>
      </c>
    </row>
    <row r="53" spans="1:6">
      <c r="A53" s="1305" t="s">
        <v>43</v>
      </c>
      <c r="B53" s="1305" t="s">
        <v>44</v>
      </c>
      <c r="C53" s="1306">
        <v>41</v>
      </c>
      <c r="D53" s="1306">
        <v>410847.68168231501</v>
      </c>
      <c r="E53" s="1306">
        <v>155</v>
      </c>
      <c r="F53" s="1306">
        <v>829295.8</v>
      </c>
    </row>
    <row r="54" spans="1:6">
      <c r="A54" s="1305" t="s">
        <v>45</v>
      </c>
      <c r="B54" s="1305" t="s">
        <v>46</v>
      </c>
      <c r="C54" s="1306">
        <v>0</v>
      </c>
      <c r="D54" s="1306">
        <v>0</v>
      </c>
      <c r="E54" s="1306">
        <v>1</v>
      </c>
      <c r="F54" s="1306">
        <v>880137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34</v>
      </c>
      <c r="D57" s="1306">
        <v>1635326.9621228599</v>
      </c>
      <c r="E57" s="1306">
        <v>40</v>
      </c>
      <c r="F57" s="1306">
        <v>615298.9</v>
      </c>
    </row>
    <row r="58" spans="1:6">
      <c r="A58" s="1305" t="s">
        <v>48</v>
      </c>
      <c r="B58" s="1305" t="s">
        <v>50</v>
      </c>
      <c r="C58" s="1306">
        <v>16</v>
      </c>
      <c r="D58" s="1306">
        <v>4547360.47606574</v>
      </c>
      <c r="E58" s="1306">
        <v>29</v>
      </c>
      <c r="F58" s="1306">
        <v>1881082</v>
      </c>
    </row>
    <row r="59" spans="1:6">
      <c r="A59" s="1305" t="s">
        <v>48</v>
      </c>
      <c r="B59" s="1305" t="s">
        <v>51</v>
      </c>
      <c r="C59" s="1306">
        <v>11</v>
      </c>
      <c r="D59" s="1306">
        <v>256736.69603923999</v>
      </c>
      <c r="E59" s="1306">
        <v>66</v>
      </c>
      <c r="F59" s="1306">
        <v>1889977</v>
      </c>
    </row>
    <row r="60" spans="1:6">
      <c r="A60" s="1305" t="s">
        <v>48</v>
      </c>
      <c r="B60" s="1305" t="s">
        <v>52</v>
      </c>
      <c r="C60" s="1306">
        <v>14</v>
      </c>
      <c r="D60" s="1306">
        <v>422787.67357963801</v>
      </c>
      <c r="E60" s="1306">
        <v>30</v>
      </c>
      <c r="F60" s="1306">
        <v>522281.1</v>
      </c>
    </row>
    <row r="61" spans="1:6">
      <c r="A61" s="1305" t="s">
        <v>48</v>
      </c>
      <c r="B61" s="1305" t="s">
        <v>53</v>
      </c>
      <c r="C61" s="1306">
        <v>6</v>
      </c>
      <c r="D61" s="1306">
        <v>106405.729020075</v>
      </c>
      <c r="E61" s="1306">
        <v>54</v>
      </c>
      <c r="F61" s="1306">
        <v>593056.4</v>
      </c>
    </row>
    <row r="62" spans="1:6">
      <c r="A62" s="1305" t="s">
        <v>48</v>
      </c>
      <c r="B62" s="1305" t="s">
        <v>54</v>
      </c>
      <c r="C62" s="1306">
        <v>3</v>
      </c>
      <c r="D62" s="1306">
        <v>299157.48722154897</v>
      </c>
      <c r="E62" s="1306">
        <v>0</v>
      </c>
      <c r="F62" s="1306">
        <v>0</v>
      </c>
    </row>
    <row r="63" spans="1:6">
      <c r="A63" s="1305" t="s">
        <v>48</v>
      </c>
      <c r="B63" s="1305" t="s">
        <v>28</v>
      </c>
      <c r="C63" s="1306">
        <v>68</v>
      </c>
      <c r="D63" s="1306">
        <v>1437197.9981654501</v>
      </c>
      <c r="E63" s="1306">
        <v>93</v>
      </c>
      <c r="F63" s="1306">
        <v>8718998</v>
      </c>
    </row>
    <row r="64" spans="1:6">
      <c r="A64" s="1305" t="s">
        <v>55</v>
      </c>
      <c r="B64" s="1305" t="s">
        <v>56</v>
      </c>
      <c r="C64" s="1306">
        <v>0</v>
      </c>
      <c r="D64" s="1306">
        <v>0</v>
      </c>
      <c r="E64" s="1306">
        <v>0</v>
      </c>
      <c r="F64" s="1306">
        <v>0</v>
      </c>
    </row>
    <row r="65" spans="1:6">
      <c r="A65" s="1305" t="s">
        <v>55</v>
      </c>
      <c r="B65" s="1305" t="s">
        <v>28</v>
      </c>
      <c r="C65" s="1306">
        <v>1</v>
      </c>
      <c r="D65" s="1306">
        <v>35102.2645360479</v>
      </c>
      <c r="E65" s="1306">
        <v>2</v>
      </c>
      <c r="F65" s="1306">
        <v>3718.9949999999999</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83548.08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29331761</v>
      </c>
      <c r="E73" s="450"/>
      <c r="F73" s="330"/>
    </row>
    <row r="74" spans="1:6">
      <c r="A74" s="1305" t="s">
        <v>63</v>
      </c>
      <c r="B74" s="1305" t="s">
        <v>710</v>
      </c>
      <c r="C74" s="1319" t="s">
        <v>712</v>
      </c>
      <c r="D74" s="1320">
        <v>2267840.2655928941</v>
      </c>
      <c r="E74" s="450"/>
      <c r="F74" s="330"/>
    </row>
    <row r="75" spans="1:6">
      <c r="A75" s="1305" t="s">
        <v>64</v>
      </c>
      <c r="B75" s="1305" t="s">
        <v>709</v>
      </c>
      <c r="C75" s="1319" t="s">
        <v>713</v>
      </c>
      <c r="D75" s="1320">
        <v>22978127</v>
      </c>
      <c r="E75" s="450"/>
      <c r="F75" s="330"/>
    </row>
    <row r="76" spans="1:6">
      <c r="A76" s="1305" t="s">
        <v>64</v>
      </c>
      <c r="B76" s="1305" t="s">
        <v>710</v>
      </c>
      <c r="C76" s="1319" t="s">
        <v>714</v>
      </c>
      <c r="D76" s="1320">
        <v>1098094.2655928943</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171639.46881421161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2520.0218193343085</v>
      </c>
      <c r="C91" s="330"/>
      <c r="D91" s="330"/>
      <c r="E91" s="330"/>
      <c r="F91" s="330"/>
    </row>
    <row r="92" spans="1:6">
      <c r="A92" s="1300" t="s">
        <v>68</v>
      </c>
      <c r="B92" s="1301">
        <v>3329.2849129134775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340</v>
      </c>
      <c r="C97" s="330"/>
      <c r="D97" s="330"/>
      <c r="E97" s="330"/>
      <c r="F97" s="330"/>
    </row>
    <row r="98" spans="1:6">
      <c r="A98" s="1305" t="s">
        <v>71</v>
      </c>
      <c r="B98" s="1306">
        <v>1</v>
      </c>
      <c r="C98" s="330"/>
      <c r="D98" s="330"/>
      <c r="E98" s="330"/>
      <c r="F98" s="330"/>
    </row>
    <row r="99" spans="1:6">
      <c r="A99" s="1305" t="s">
        <v>72</v>
      </c>
      <c r="B99" s="1306">
        <v>307</v>
      </c>
      <c r="C99" s="330"/>
      <c r="D99" s="330"/>
      <c r="E99" s="330"/>
      <c r="F99" s="330"/>
    </row>
    <row r="100" spans="1:6">
      <c r="A100" s="1305" t="s">
        <v>73</v>
      </c>
      <c r="B100" s="1306">
        <v>296</v>
      </c>
      <c r="C100" s="330"/>
      <c r="D100" s="330"/>
      <c r="E100" s="330"/>
      <c r="F100" s="330"/>
    </row>
    <row r="101" spans="1:6">
      <c r="A101" s="1305" t="s">
        <v>74</v>
      </c>
      <c r="B101" s="1306">
        <v>121</v>
      </c>
      <c r="C101" s="330"/>
      <c r="D101" s="330"/>
      <c r="E101" s="330"/>
      <c r="F101" s="330"/>
    </row>
    <row r="102" spans="1:6">
      <c r="A102" s="1305" t="s">
        <v>75</v>
      </c>
      <c r="B102" s="1306">
        <v>54</v>
      </c>
      <c r="C102" s="330"/>
      <c r="D102" s="330"/>
      <c r="E102" s="330"/>
      <c r="F102" s="330"/>
    </row>
    <row r="103" spans="1:6">
      <c r="A103" s="1305" t="s">
        <v>76</v>
      </c>
      <c r="B103" s="1306">
        <v>320</v>
      </c>
      <c r="C103" s="330"/>
      <c r="D103" s="330"/>
      <c r="E103" s="330"/>
      <c r="F103" s="330"/>
    </row>
    <row r="104" spans="1:6">
      <c r="A104" s="1305" t="s">
        <v>77</v>
      </c>
      <c r="B104" s="1306">
        <v>1912</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9</v>
      </c>
      <c r="C123" s="1306">
        <v>8</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120</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43115.973956690621</v>
      </c>
      <c r="C3" s="43" t="s">
        <v>169</v>
      </c>
      <c r="D3" s="43"/>
      <c r="E3" s="154"/>
      <c r="F3" s="43"/>
      <c r="G3" s="43"/>
      <c r="H3" s="43"/>
      <c r="I3" s="43"/>
      <c r="J3" s="43"/>
      <c r="K3" s="96"/>
    </row>
    <row r="4" spans="1:11">
      <c r="A4" s="359" t="s">
        <v>170</v>
      </c>
      <c r="B4" s="49">
        <f>IF(ISERROR('SEAP template'!B78+'SEAP template'!C78),0,'SEAP template'!B78+'SEAP template'!C78)</f>
        <v>18584.306732247784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8.3176470588235296E-2</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0.12574415316509738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0.11882352941176472</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18192.857142857145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6.5313286680985699E-6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880.13699999999994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880.13699999999994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0.12574415316509738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110.6720817342693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14983.526</v>
      </c>
      <c r="C5" s="17">
        <f>IF(ISERROR('Eigen informatie GS &amp; warmtenet'!B57),0,'Eigen informatie GS &amp; warmtenet'!B57)</f>
        <v>0</v>
      </c>
      <c r="D5" s="30">
        <f>(SUM(HH_hh_gas_kWh,HH_rest_gas_kWh)/1000)*0.902</f>
        <v>18150.45175234729</v>
      </c>
      <c r="E5" s="17">
        <f>B46*B57</f>
        <v>46509.167044422327</v>
      </c>
      <c r="F5" s="17">
        <f>B51*B62</f>
        <v>18505.74319877796</v>
      </c>
      <c r="G5" s="18"/>
      <c r="H5" s="17"/>
      <c r="I5" s="17"/>
      <c r="J5" s="17">
        <f>B50*B61+C50*C61</f>
        <v>5436.4724232828084</v>
      </c>
      <c r="K5" s="17"/>
      <c r="L5" s="17"/>
      <c r="M5" s="17"/>
      <c r="N5" s="17">
        <f>B48*B59+C48*C59</f>
        <v>13218.891025263754</v>
      </c>
      <c r="O5" s="17">
        <f>B69*B70*B71</f>
        <v>201.67000000000004</v>
      </c>
      <c r="P5" s="17">
        <f>B77*B78*B79/1000-B77*B78*B79/1000/B80</f>
        <v>209.73333333333335</v>
      </c>
    </row>
    <row r="6" spans="1:16">
      <c r="A6" s="16" t="s">
        <v>630</v>
      </c>
      <c r="B6" s="763">
        <f>kWh_PV_kleiner_dan_10kW</f>
        <v>2520.0218193343085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17503.547819334308</v>
      </c>
      <c r="C8" s="21">
        <f>C5</f>
        <v>0</v>
      </c>
      <c r="D8" s="21">
        <f>D5</f>
        <v>18150.45175234729</v>
      </c>
      <c r="E8" s="21">
        <f>E5</f>
        <v>46509.167044422327</v>
      </c>
      <c r="F8" s="21">
        <f>F5</f>
        <v>18505.74319877796</v>
      </c>
      <c r="G8" s="21"/>
      <c r="H8" s="21"/>
      <c r="I8" s="21"/>
      <c r="J8" s="21">
        <f>J5</f>
        <v>5436.4724232828084</v>
      </c>
      <c r="K8" s="21"/>
      <c r="L8" s="21">
        <f>L5</f>
        <v>0</v>
      </c>
      <c r="M8" s="21">
        <f>M5</f>
        <v>0</v>
      </c>
      <c r="N8" s="21">
        <f>N5</f>
        <v>13218.891025263754</v>
      </c>
      <c r="O8" s="21">
        <f>O5</f>
        <v>201.67000000000004</v>
      </c>
      <c r="P8" s="21">
        <f>P5</f>
        <v>209.73333333333335</v>
      </c>
    </row>
    <row r="9" spans="1:16">
      <c r="B9" s="19"/>
      <c r="C9" s="19"/>
      <c r="D9" s="258"/>
      <c r="E9" s="19"/>
      <c r="F9" s="19"/>
      <c r="G9" s="19"/>
      <c r="H9" s="19"/>
      <c r="I9" s="19"/>
      <c r="J9" s="19"/>
      <c r="K9" s="19"/>
      <c r="L9" s="19"/>
      <c r="M9" s="19"/>
      <c r="N9" s="19"/>
      <c r="O9" s="19"/>
      <c r="P9" s="19"/>
    </row>
    <row r="10" spans="1:16">
      <c r="A10" s="24" t="s">
        <v>213</v>
      </c>
      <c r="B10" s="25">
        <f ca="1">'EF ele_warmte'!B12</f>
        <v>0.12574415316509738</v>
      </c>
      <c r="C10" s="25">
        <f ca="1">'EF ele_warmte'!B22</f>
        <v>6.5313286680985699E-6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2200.9687979269793</v>
      </c>
      <c r="C12" s="23">
        <f ca="1">C10*C8</f>
        <v>0</v>
      </c>
      <c r="D12" s="23">
        <f>D8*D10</f>
        <v>3666.3912539741527</v>
      </c>
      <c r="E12" s="23">
        <f>E10*E8</f>
        <v>10557.580919083868</v>
      </c>
      <c r="F12" s="23">
        <f>F10*F8</f>
        <v>4941.0334340737154</v>
      </c>
      <c r="G12" s="23"/>
      <c r="H12" s="23"/>
      <c r="I12" s="23"/>
      <c r="J12" s="23">
        <f>J10*J8</f>
        <v>1924.511237842114</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307</v>
      </c>
      <c r="C20" s="167">
        <f>IF(ISERROR(B20/SUM($B$20,$B$21,$B$22)*100),0,B20/SUM($B$20,$B$21,$B$22)*100)</f>
        <v>42.403314917127069</v>
      </c>
      <c r="D20" s="229"/>
      <c r="E20" s="15"/>
    </row>
    <row r="21" spans="1:7">
      <c r="A21" s="171" t="s">
        <v>73</v>
      </c>
      <c r="B21" s="37">
        <f>aantalw2001_elektriciteit</f>
        <v>296</v>
      </c>
      <c r="C21" s="167">
        <f>IF(ISERROR(B21/SUM($B$20,$B$21,$B$22)*100),0,B21/SUM($B$20,$B$21,$B$22)*100)</f>
        <v>40.883977900552487</v>
      </c>
      <c r="D21" s="229"/>
      <c r="E21" s="15"/>
    </row>
    <row r="22" spans="1:7">
      <c r="A22" s="171" t="s">
        <v>74</v>
      </c>
      <c r="B22" s="37">
        <f>aantalw2001_hout</f>
        <v>121</v>
      </c>
      <c r="C22" s="167">
        <f>IF(ISERROR(B22/SUM($B$20,$B$21,$B$22)*100),0,B22/SUM($B$20,$B$21,$B$22)*100)</f>
        <v>16.71270718232044</v>
      </c>
      <c r="D22" s="229"/>
      <c r="E22" s="15"/>
    </row>
    <row r="23" spans="1:7">
      <c r="A23" s="171" t="s">
        <v>75</v>
      </c>
      <c r="B23" s="37">
        <f>aantalw2001_niet_gespec</f>
        <v>54</v>
      </c>
      <c r="C23" s="166" t="s">
        <v>110</v>
      </c>
      <c r="D23" s="228"/>
      <c r="E23" s="15"/>
    </row>
    <row r="24" spans="1:7">
      <c r="A24" s="171" t="s">
        <v>76</v>
      </c>
      <c r="B24" s="37">
        <f>aantalw2001_steenkool</f>
        <v>320</v>
      </c>
      <c r="C24" s="166" t="s">
        <v>110</v>
      </c>
      <c r="D24" s="229"/>
      <c r="E24" s="15"/>
    </row>
    <row r="25" spans="1:7">
      <c r="A25" s="171" t="s">
        <v>77</v>
      </c>
      <c r="B25" s="37">
        <f>aantalw2001_stookolie</f>
        <v>1912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3957</v>
      </c>
      <c r="C28" s="36"/>
      <c r="D28" s="228"/>
    </row>
    <row r="29" spans="1:7" s="15" customFormat="1">
      <c r="A29" s="230" t="s">
        <v>737</v>
      </c>
      <c r="B29" s="37">
        <f>SUM(HH_hh_gas_aantal,HH_rest_gas_aantal)</f>
        <v>1546</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1546</v>
      </c>
      <c r="C32" s="167">
        <f>IF(ISERROR(B32/SUM($B$32,$B$34,$B$35,$B$36,$B$38,$B$39)*100),0,B32/SUM($B$32,$B$34,$B$35,$B$36,$B$38,$B$39)*100)</f>
        <v>39.178915357323874</v>
      </c>
      <c r="D32" s="233"/>
      <c r="G32" s="15"/>
    </row>
    <row r="33" spans="1:7">
      <c r="A33" s="171" t="s">
        <v>71</v>
      </c>
      <c r="B33" s="34" t="s">
        <v>110</v>
      </c>
      <c r="C33" s="167"/>
      <c r="D33" s="233"/>
      <c r="G33" s="15"/>
    </row>
    <row r="34" spans="1:7">
      <c r="A34" s="171" t="s">
        <v>72</v>
      </c>
      <c r="B34" s="33">
        <f>IF((($B$28-$B$32-$B$39-$B$77-$B$38)*C20/100)&lt;0,0,($B$28-$B$32-$B$39-$B$77-$B$38)*C20/100)</f>
        <v>582.62154696132598</v>
      </c>
      <c r="C34" s="167">
        <f>IF(ISERROR(B34/SUM($B$32,$B$34,$B$35,$B$36,$B$38,$B$39)*100),0,B34/SUM($B$32,$B$34,$B$35,$B$36,$B$38,$B$39)*100)</f>
        <v>14.764864342659045</v>
      </c>
      <c r="D34" s="233"/>
      <c r="G34" s="15"/>
    </row>
    <row r="35" spans="1:7">
      <c r="A35" s="171" t="s">
        <v>73</v>
      </c>
      <c r="B35" s="33">
        <f>IF((($B$28-$B$32-$B$39-$B$77-$B$38)*C21/100)&lt;0,0,($B$28-$B$32-$B$39-$B$77-$B$38)*C21/100)</f>
        <v>561.74585635359119</v>
      </c>
      <c r="C35" s="167">
        <f>IF(ISERROR(B35/SUM($B$32,$B$34,$B$35,$B$36,$B$38,$B$39)*100),0,B35/SUM($B$32,$B$34,$B$35,$B$36,$B$38,$B$39)*100)</f>
        <v>14.235830115397649</v>
      </c>
      <c r="D35" s="233"/>
      <c r="G35" s="15"/>
    </row>
    <row r="36" spans="1:7">
      <c r="A36" s="171" t="s">
        <v>74</v>
      </c>
      <c r="B36" s="33">
        <f>IF((($B$28-$B$32-$B$39-$B$77-$B$38)*C22/100)&lt;0,0,($B$28-$B$32-$B$39-$B$77-$B$38)*C22/100)</f>
        <v>229.63259668508283</v>
      </c>
      <c r="C36" s="167">
        <f>IF(ISERROR(B36/SUM($B$32,$B$34,$B$35,$B$36,$B$38,$B$39)*100),0,B36/SUM($B$32,$B$34,$B$35,$B$36,$B$38,$B$39)*100)</f>
        <v>5.8193764998753883</v>
      </c>
      <c r="D36" s="233"/>
      <c r="G36" s="15"/>
    </row>
    <row r="37" spans="1:7">
      <c r="A37" s="171" t="s">
        <v>75</v>
      </c>
      <c r="B37" s="34" t="s">
        <v>110</v>
      </c>
      <c r="C37" s="167"/>
      <c r="D37" s="173"/>
      <c r="G37" s="15"/>
    </row>
    <row r="38" spans="1:7">
      <c r="A38" s="171" t="s">
        <v>76</v>
      </c>
      <c r="B38" s="33">
        <f>IF((B24-(B29-B18)*0.1)&lt;0,0,B24-(B29-B18)*0.1)</f>
        <v>199.39999999999998</v>
      </c>
      <c r="C38" s="167">
        <f>IF(ISERROR(B38/SUM($B$32,$B$34,$B$35,$B$36,$B$38,$B$39)*100),0,B38/SUM($B$32,$B$34,$B$35,$B$36,$B$38,$B$39)*100)</f>
        <v>5.0532184490623413</v>
      </c>
      <c r="D38" s="234"/>
      <c r="G38" s="15"/>
    </row>
    <row r="39" spans="1:7">
      <c r="A39" s="171" t="s">
        <v>77</v>
      </c>
      <c r="B39" s="33">
        <f>IF((B25-(B29-B18))&lt;0,0,B25-(B29-B18)*0.9)</f>
        <v>826.59999999999991</v>
      </c>
      <c r="C39" s="167">
        <f>IF(ISERROR(B39/SUM($B$32,$B$34,$B$35,$B$36,$B$38,$B$39)*100),0,B39/SUM($B$32,$B$34,$B$35,$B$36,$B$38,$B$39)*100)</f>
        <v>20.947795235681703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1546</v>
      </c>
      <c r="C44" s="34" t="s">
        <v>110</v>
      </c>
      <c r="D44" s="174"/>
    </row>
    <row r="45" spans="1:7">
      <c r="A45" s="171" t="s">
        <v>71</v>
      </c>
      <c r="B45" s="33" t="str">
        <f t="shared" si="0"/>
        <v>-</v>
      </c>
      <c r="C45" s="34" t="s">
        <v>110</v>
      </c>
      <c r="D45" s="174"/>
    </row>
    <row r="46" spans="1:7">
      <c r="A46" s="171" t="s">
        <v>72</v>
      </c>
      <c r="B46" s="33">
        <f t="shared" si="0"/>
        <v>582.62154696132598</v>
      </c>
      <c r="C46" s="34" t="s">
        <v>110</v>
      </c>
      <c r="D46" s="174"/>
    </row>
    <row r="47" spans="1:7">
      <c r="A47" s="171" t="s">
        <v>73</v>
      </c>
      <c r="B47" s="33">
        <f t="shared" si="0"/>
        <v>561.74585635359119</v>
      </c>
      <c r="C47" s="34" t="s">
        <v>110</v>
      </c>
      <c r="D47" s="174"/>
    </row>
    <row r="48" spans="1:7">
      <c r="A48" s="171" t="s">
        <v>74</v>
      </c>
      <c r="B48" s="33">
        <f t="shared" si="0"/>
        <v>229.63259668508283</v>
      </c>
      <c r="C48" s="33">
        <f>B48*10</f>
        <v>2296.3259668508281</v>
      </c>
      <c r="D48" s="234"/>
    </row>
    <row r="49" spans="1:6">
      <c r="A49" s="171" t="s">
        <v>75</v>
      </c>
      <c r="B49" s="33" t="str">
        <f t="shared" si="0"/>
        <v>-</v>
      </c>
      <c r="C49" s="34" t="s">
        <v>110</v>
      </c>
      <c r="D49" s="234"/>
    </row>
    <row r="50" spans="1:6">
      <c r="A50" s="171" t="s">
        <v>76</v>
      </c>
      <c r="B50" s="33">
        <f t="shared" si="0"/>
        <v>199.39999999999998</v>
      </c>
      <c r="C50" s="33">
        <f>B50*2</f>
        <v>398.79999999999995</v>
      </c>
      <c r="D50" s="234"/>
    </row>
    <row r="51" spans="1:6">
      <c r="A51" s="171" t="s">
        <v>77</v>
      </c>
      <c r="B51" s="33">
        <f t="shared" si="0"/>
        <v>826.59999999999991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14220.6934</v>
      </c>
      <c r="C5" s="17">
        <f>IF(ISERROR('Eigen informatie GS &amp; warmtenet'!B58),0,'Eigen informatie GS &amp; warmtenet'!B58)</f>
        <v>0</v>
      </c>
      <c r="D5" s="30">
        <f>SUM(D6:D12)</f>
        <v>7851.8856660375268</v>
      </c>
      <c r="E5" s="17">
        <f>SUM(E6:E12)</f>
        <v>126.37789503911611</v>
      </c>
      <c r="F5" s="17">
        <f>SUM(F6:F12)</f>
        <v>2075.3728084333611</v>
      </c>
      <c r="G5" s="18"/>
      <c r="H5" s="17"/>
      <c r="I5" s="17"/>
      <c r="J5" s="17">
        <f>SUM(J6:J12)</f>
        <v>0</v>
      </c>
      <c r="K5" s="17"/>
      <c r="L5" s="17"/>
      <c r="M5" s="17"/>
      <c r="N5" s="17">
        <f>SUM(N6:N12)</f>
        <v>1213.630928771981</v>
      </c>
      <c r="O5" s="17">
        <f>B38*B39*B40</f>
        <v>0</v>
      </c>
      <c r="P5" s="17">
        <f>B46*B47*B48/1000-B46*B47*B48/1000/B49</f>
        <v>19.066666666666666</v>
      </c>
      <c r="R5" s="32"/>
    </row>
    <row r="6" spans="1:18">
      <c r="A6" s="32" t="s">
        <v>53</v>
      </c>
      <c r="B6" s="37">
        <f>B26</f>
        <v>593.05640000000005</v>
      </c>
      <c r="C6" s="33"/>
      <c r="D6" s="37">
        <f>IF(ISERROR(TER_kantoor_gas_kWh/1000),0,TER_kantoor_gas_kWh/1000)*0.902</f>
        <v>95.977967576107659</v>
      </c>
      <c r="E6" s="33">
        <f>$C$26*'E Balans VL '!I12/100/3.6*1000000</f>
        <v>1.7181714045117804</v>
      </c>
      <c r="F6" s="33">
        <f>$C$26*('E Balans VL '!L12+'E Balans VL '!N12)/100/3.6*1000000</f>
        <v>67.120918434466859</v>
      </c>
      <c r="G6" s="34"/>
      <c r="H6" s="33"/>
      <c r="I6" s="33"/>
      <c r="J6" s="33">
        <f>$C$26*('E Balans VL '!D12+'E Balans VL '!E12)/100/3.6*1000000</f>
        <v>0</v>
      </c>
      <c r="K6" s="33"/>
      <c r="L6" s="33"/>
      <c r="M6" s="33"/>
      <c r="N6" s="33">
        <f>$C$26*'E Balans VL '!Y12/100/3.6*1000000</f>
        <v>5.9360575805337064</v>
      </c>
      <c r="O6" s="33"/>
      <c r="P6" s="33"/>
      <c r="R6" s="32"/>
    </row>
    <row r="7" spans="1:18">
      <c r="A7" s="32" t="s">
        <v>52</v>
      </c>
      <c r="B7" s="37">
        <f t="shared" ref="B7:B12" si="0">B27</f>
        <v>522.28109999999992</v>
      </c>
      <c r="C7" s="33"/>
      <c r="D7" s="37">
        <f>IF(ISERROR(TER_horeca_gas_kWh/1000),0,TER_horeca_gas_kWh/1000)*0.902</f>
        <v>381.35448156883348</v>
      </c>
      <c r="E7" s="33">
        <f>$C$27*'E Balans VL '!I9/100/3.6*1000000</f>
        <v>21.923901353446471</v>
      </c>
      <c r="F7" s="33">
        <f>$C$27*('E Balans VL '!L9+'E Balans VL '!N9)/100/3.6*1000000</f>
        <v>112.22280471769089</v>
      </c>
      <c r="G7" s="34"/>
      <c r="H7" s="33"/>
      <c r="I7" s="33"/>
      <c r="J7" s="33">
        <f>$C$27*('E Balans VL '!D9+'E Balans VL '!E9)/100/3.6*1000000</f>
        <v>0</v>
      </c>
      <c r="K7" s="33"/>
      <c r="L7" s="33"/>
      <c r="M7" s="33"/>
      <c r="N7" s="33">
        <f>$C$27*'E Balans VL '!Y9/100/3.6*1000000</f>
        <v>0.13458727195608336</v>
      </c>
      <c r="O7" s="33"/>
      <c r="P7" s="33"/>
      <c r="R7" s="32"/>
    </row>
    <row r="8" spans="1:18">
      <c r="A8" s="6" t="s">
        <v>51</v>
      </c>
      <c r="B8" s="37">
        <f t="shared" si="0"/>
        <v>1889.9770000000001</v>
      </c>
      <c r="C8" s="33"/>
      <c r="D8" s="37">
        <f>IF(ISERROR(TER_handel_gas_kWh/1000),0,TER_handel_gas_kWh/1000)*0.902</f>
        <v>231.57649982739446</v>
      </c>
      <c r="E8" s="33">
        <f>$C$28*'E Balans VL '!I13/100/3.6*1000000</f>
        <v>20.299925963142556</v>
      </c>
      <c r="F8" s="33">
        <f>$C$28*('E Balans VL '!L13+'E Balans VL '!N13)/100/3.6*1000000</f>
        <v>244.67312975832874</v>
      </c>
      <c r="G8" s="34"/>
      <c r="H8" s="33"/>
      <c r="I8" s="33"/>
      <c r="J8" s="33">
        <f>$C$28*('E Balans VL '!D13+'E Balans VL '!E13)/100/3.6*1000000</f>
        <v>0</v>
      </c>
      <c r="K8" s="33"/>
      <c r="L8" s="33"/>
      <c r="M8" s="33"/>
      <c r="N8" s="33">
        <f>$C$28*'E Balans VL '!Y13/100/3.6*1000000</f>
        <v>15.331596621231169</v>
      </c>
      <c r="O8" s="33"/>
      <c r="P8" s="33"/>
      <c r="R8" s="32"/>
    </row>
    <row r="9" spans="1:18">
      <c r="A9" s="32" t="s">
        <v>50</v>
      </c>
      <c r="B9" s="37">
        <f t="shared" si="0"/>
        <v>1881.0820000000001</v>
      </c>
      <c r="C9" s="33"/>
      <c r="D9" s="37">
        <f>IF(ISERROR(TER_gezond_gas_kWh/1000),0,TER_gezond_gas_kWh/1000)*0.902</f>
        <v>4101.7191494112976</v>
      </c>
      <c r="E9" s="33">
        <f>$C$29*'E Balans VL '!I10/100/3.6*1000000</f>
        <v>1.4974629371242549</v>
      </c>
      <c r="F9" s="33">
        <f>$C$29*('E Balans VL '!L10+'E Balans VL '!N10)/100/3.6*1000000</f>
        <v>228.67270118338141</v>
      </c>
      <c r="G9" s="34"/>
      <c r="H9" s="33"/>
      <c r="I9" s="33"/>
      <c r="J9" s="33">
        <f>$C$29*('E Balans VL '!D10+'E Balans VL '!E10)/100/3.6*1000000</f>
        <v>0</v>
      </c>
      <c r="K9" s="33"/>
      <c r="L9" s="33"/>
      <c r="M9" s="33"/>
      <c r="N9" s="33">
        <f>$C$29*'E Balans VL '!Y10/100/3.6*1000000</f>
        <v>15.194882036068194</v>
      </c>
      <c r="O9" s="33"/>
      <c r="P9" s="33"/>
      <c r="R9" s="32"/>
    </row>
    <row r="10" spans="1:18">
      <c r="A10" s="32" t="s">
        <v>49</v>
      </c>
      <c r="B10" s="37">
        <f t="shared" si="0"/>
        <v>615.2989</v>
      </c>
      <c r="C10" s="33"/>
      <c r="D10" s="37">
        <f>IF(ISERROR(TER_ander_gas_kWh/1000),0,TER_ander_gas_kWh/1000)*0.902</f>
        <v>1475.0649198348196</v>
      </c>
      <c r="E10" s="33">
        <f>$C$30*'E Balans VL '!I14/100/3.6*1000000</f>
        <v>2.108661653960767</v>
      </c>
      <c r="F10" s="33">
        <f>$C$30*('E Balans VL '!L14+'E Balans VL '!N14)/100/3.6*1000000</f>
        <v>137.43277145794661</v>
      </c>
      <c r="G10" s="34"/>
      <c r="H10" s="33"/>
      <c r="I10" s="33"/>
      <c r="J10" s="33">
        <f>$C$30*('E Balans VL '!D14+'E Balans VL '!E14)/100/3.6*1000000</f>
        <v>0</v>
      </c>
      <c r="K10" s="33"/>
      <c r="L10" s="33"/>
      <c r="M10" s="33"/>
      <c r="N10" s="33">
        <f>$C$30*'E Balans VL '!Y14/100/3.6*1000000</f>
        <v>433.4199064721862</v>
      </c>
      <c r="O10" s="33"/>
      <c r="P10" s="33"/>
      <c r="R10" s="32"/>
    </row>
    <row r="11" spans="1:18">
      <c r="A11" s="32" t="s">
        <v>54</v>
      </c>
      <c r="B11" s="37">
        <f t="shared" si="0"/>
        <v>0</v>
      </c>
      <c r="C11" s="33"/>
      <c r="D11" s="37">
        <f>IF(ISERROR(TER_onderwijs_gas_kWh/1000),0,TER_onderwijs_gas_kWh/1000)*0.902</f>
        <v>269.8400534738372</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8718.9979999999996</v>
      </c>
      <c r="C12" s="33"/>
      <c r="D12" s="37">
        <f>IF(ISERROR(TER_rest_gas_kWh/1000),0,TER_rest_gas_kWh/1000)*0.902</f>
        <v>1296.352594345236</v>
      </c>
      <c r="E12" s="33">
        <f>$C$32*'E Balans VL '!I8/100/3.6*1000000</f>
        <v>78.829771726930275</v>
      </c>
      <c r="F12" s="33">
        <f>$C$32*('E Balans VL '!L8+'E Balans VL '!N8)/100/3.6*1000000</f>
        <v>1285.2504828815468</v>
      </c>
      <c r="G12" s="34"/>
      <c r="H12" s="33"/>
      <c r="I12" s="33"/>
      <c r="J12" s="33">
        <f>$C$32*('E Balans VL '!D8+'E Balans VL '!E8)/100/3.6*1000000</f>
        <v>0</v>
      </c>
      <c r="K12" s="33"/>
      <c r="L12" s="33"/>
      <c r="M12" s="33"/>
      <c r="N12" s="33">
        <f>$C$32*'E Balans VL '!Y8/100/3.6*1000000</f>
        <v>743.61389879000558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14220.6934</v>
      </c>
      <c r="C16" s="21">
        <f t="shared" ca="1" si="1"/>
        <v>0</v>
      </c>
      <c r="D16" s="21">
        <f t="shared" ca="1" si="1"/>
        <v>7851.8856660375268</v>
      </c>
      <c r="E16" s="21">
        <f t="shared" si="1"/>
        <v>126.37789503911611</v>
      </c>
      <c r="F16" s="21">
        <f t="shared" ca="1" si="1"/>
        <v>2075.3728084333611</v>
      </c>
      <c r="G16" s="21">
        <f t="shared" si="1"/>
        <v>0</v>
      </c>
      <c r="H16" s="21">
        <f t="shared" si="1"/>
        <v>0</v>
      </c>
      <c r="I16" s="21">
        <f t="shared" si="1"/>
        <v>0</v>
      </c>
      <c r="J16" s="21">
        <f t="shared" si="1"/>
        <v>0</v>
      </c>
      <c r="K16" s="21">
        <f t="shared" si="1"/>
        <v>0</v>
      </c>
      <c r="L16" s="21">
        <f t="shared" ca="1" si="1"/>
        <v>0</v>
      </c>
      <c r="M16" s="21">
        <f t="shared" si="1"/>
        <v>0</v>
      </c>
      <c r="N16" s="21">
        <f t="shared" ca="1" si="1"/>
        <v>1213.630928771981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0.12574415316509738</v>
      </c>
      <c r="C18" s="25">
        <f ca="1">'EF ele_warmte'!B22</f>
        <v>6.5313286680985699E-6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1788.1690490034894</v>
      </c>
      <c r="C20" s="23">
        <f t="shared" ref="C20:P20" ca="1" si="2">C16*C18</f>
        <v>0</v>
      </c>
      <c r="D20" s="23">
        <f t="shared" ca="1" si="2"/>
        <v>1586.0809045395806</v>
      </c>
      <c r="E20" s="23">
        <f t="shared" si="2"/>
        <v>28.687782173879359</v>
      </c>
      <c r="F20" s="23">
        <f t="shared" ca="1" si="2"/>
        <v>554.12453985170748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593.05640000000005</v>
      </c>
      <c r="C26" s="39">
        <f>IF(ISERROR(B26*3.6/1000000/'E Balans VL '!Z12*100),0,B26*3.6/1000000/'E Balans VL '!Z12*100)</f>
        <v>1.3027169467856687E-2</v>
      </c>
      <c r="D26" s="237" t="s">
        <v>691</v>
      </c>
      <c r="F26" s="6"/>
    </row>
    <row r="27" spans="1:18">
      <c r="A27" s="231" t="s">
        <v>52</v>
      </c>
      <c r="B27" s="33">
        <f>IF(ISERROR(TER_horeca_ele_kWh/1000),0,TER_horeca_ele_kWh/1000)</f>
        <v>522.28109999999992</v>
      </c>
      <c r="C27" s="39">
        <f>IF(ISERROR(B27*3.6/1000000/'E Balans VL '!Z9*100),0,B27*3.6/1000000/'E Balans VL '!Z9*100)</f>
        <v>4.1970492544495162E-2</v>
      </c>
      <c r="D27" s="237" t="s">
        <v>691</v>
      </c>
      <c r="F27" s="6"/>
    </row>
    <row r="28" spans="1:18">
      <c r="A28" s="171" t="s">
        <v>51</v>
      </c>
      <c r="B28" s="33">
        <f>IF(ISERROR(TER_handel_ele_kWh/1000),0,TER_handel_ele_kWh/1000)</f>
        <v>1889.9770000000001</v>
      </c>
      <c r="C28" s="39">
        <f>IF(ISERROR(B28*3.6/1000000/'E Balans VL '!Z13*100),0,B28*3.6/1000000/'E Balans VL '!Z13*100)</f>
        <v>5.5885299524344657E-2</v>
      </c>
      <c r="D28" s="237" t="s">
        <v>691</v>
      </c>
      <c r="F28" s="6"/>
    </row>
    <row r="29" spans="1:18">
      <c r="A29" s="231" t="s">
        <v>50</v>
      </c>
      <c r="B29" s="33">
        <f>IF(ISERROR(TER_gezond_ele_kWh/1000),0,TER_gezond_ele_kWh/1000)</f>
        <v>1881.0820000000001</v>
      </c>
      <c r="C29" s="39">
        <f>IF(ISERROR(B29*3.6/1000000/'E Balans VL '!Z10*100),0,B29*3.6/1000000/'E Balans VL '!Z10*100)</f>
        <v>0.21194937614379816</v>
      </c>
      <c r="D29" s="237" t="s">
        <v>691</v>
      </c>
      <c r="F29" s="6"/>
    </row>
    <row r="30" spans="1:18">
      <c r="A30" s="231" t="s">
        <v>49</v>
      </c>
      <c r="B30" s="33">
        <f>IF(ISERROR(TER_ander_ele_kWh/1000),0,TER_ander_ele_kWh/1000)</f>
        <v>615.2989</v>
      </c>
      <c r="C30" s="39">
        <f>IF(ISERROR(B30*3.6/1000000/'E Balans VL '!Z14*100),0,B30*3.6/1000000/'E Balans VL '!Z14*100)</f>
        <v>4.6534004001040595E-2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8718.9979999999996</v>
      </c>
      <c r="C32" s="39">
        <f>IF(ISERROR(B32*3.6/1000000/'E Balans VL '!Z8*100),0,B32*3.6/1000000/'E Balans VL '!Z8*100)</f>
        <v>7.345242893717556E-2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4889.5111299999999</v>
      </c>
      <c r="C5" s="17">
        <f>IF(ISERROR('Eigen informatie GS &amp; warmtenet'!B59),0,'Eigen informatie GS &amp; warmtenet'!B59)</f>
        <v>0</v>
      </c>
      <c r="D5" s="30">
        <f>SUM(D6:D15)</f>
        <v>748.78295275317373</v>
      </c>
      <c r="E5" s="17">
        <f>SUM(E6:E15)</f>
        <v>1017.7143416102621</v>
      </c>
      <c r="F5" s="17">
        <f>SUM(F6:F15)</f>
        <v>3450.9539983603622</v>
      </c>
      <c r="G5" s="18"/>
      <c r="H5" s="17"/>
      <c r="I5" s="17"/>
      <c r="J5" s="17">
        <f>SUM(J6:J15)</f>
        <v>10.03443323593843</v>
      </c>
      <c r="K5" s="17"/>
      <c r="L5" s="17"/>
      <c r="M5" s="17"/>
      <c r="N5" s="17">
        <f>SUM(N6:N15)</f>
        <v>462.24793948244343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85.514030000000005</v>
      </c>
      <c r="C8" s="33"/>
      <c r="D8" s="37">
        <f>IF( ISERROR(IND_metaal_Gas_kWH/1000),0,IND_metaal_Gas_kWH/1000)*0.902</f>
        <v>0</v>
      </c>
      <c r="E8" s="33">
        <f>C30*'E Balans VL '!I18/100/3.6*1000000</f>
        <v>2.140116878206928</v>
      </c>
      <c r="F8" s="33">
        <f>C30*'E Balans VL '!L18/100/3.6*1000000+C30*'E Balans VL '!N18/100/3.6*1000000</f>
        <v>26.800522370661071</v>
      </c>
      <c r="G8" s="34"/>
      <c r="H8" s="33"/>
      <c r="I8" s="33"/>
      <c r="J8" s="40">
        <f>C30*'E Balans VL '!D18/100/3.6*1000000+C30*'E Balans VL '!E18/100/3.6*1000000</f>
        <v>0</v>
      </c>
      <c r="K8" s="33"/>
      <c r="L8" s="33"/>
      <c r="M8" s="33"/>
      <c r="N8" s="33">
        <f>C30*'E Balans VL '!Y18/100/3.6*1000000</f>
        <v>2.1483343618601443</v>
      </c>
      <c r="O8" s="33"/>
      <c r="P8" s="33"/>
      <c r="R8" s="32"/>
    </row>
    <row r="9" spans="1:18">
      <c r="A9" s="6" t="s">
        <v>32</v>
      </c>
      <c r="B9" s="37">
        <f t="shared" si="0"/>
        <v>3482.7559999999999</v>
      </c>
      <c r="C9" s="33"/>
      <c r="D9" s="37">
        <f>IF( ISERROR(IND_andere_gas_kWh/1000),0,IND_andere_gas_kWh/1000)*0.902</f>
        <v>387.54332588174009</v>
      </c>
      <c r="E9" s="33">
        <f>C31*'E Balans VL '!I19/100/3.6*1000000</f>
        <v>957.61505456903899</v>
      </c>
      <c r="F9" s="33">
        <f>C31*'E Balans VL '!L19/100/3.6*1000000+C31*'E Balans VL '!N19/100/3.6*1000000</f>
        <v>2745.017771056655</v>
      </c>
      <c r="G9" s="34"/>
      <c r="H9" s="33"/>
      <c r="I9" s="33"/>
      <c r="J9" s="40">
        <f>C31*'E Balans VL '!D19/100/3.6*1000000+C31*'E Balans VL '!E19/100/3.6*1000000</f>
        <v>0</v>
      </c>
      <c r="K9" s="33"/>
      <c r="L9" s="33"/>
      <c r="M9" s="33"/>
      <c r="N9" s="33">
        <f>C31*'E Balans VL '!Y19/100/3.6*1000000</f>
        <v>280.57301803775488</v>
      </c>
      <c r="O9" s="33"/>
      <c r="P9" s="33"/>
      <c r="R9" s="32"/>
    </row>
    <row r="10" spans="1:18">
      <c r="A10" s="6" t="s">
        <v>40</v>
      </c>
      <c r="B10" s="37">
        <f t="shared" si="0"/>
        <v>227.55110000000002</v>
      </c>
      <c r="C10" s="33"/>
      <c r="D10" s="37">
        <f>IF( ISERROR(IND_voed_gas_kWh/1000),0,IND_voed_gas_kWh/1000)*0.902</f>
        <v>164.05028064116919</v>
      </c>
      <c r="E10" s="33">
        <f>C32*'E Balans VL '!I20/100/3.6*1000000</f>
        <v>2.3197581058837105</v>
      </c>
      <c r="F10" s="33">
        <f>C32*'E Balans VL '!L20/100/3.6*1000000+C32*'E Balans VL '!N20/100/3.6*1000000</f>
        <v>429.8426047052518</v>
      </c>
      <c r="G10" s="34"/>
      <c r="H10" s="33"/>
      <c r="I10" s="33"/>
      <c r="J10" s="40">
        <f>C32*'E Balans VL '!D20/100/3.6*1000000+C32*'E Balans VL '!E20/100/3.6*1000000</f>
        <v>5.4460423735700765</v>
      </c>
      <c r="K10" s="33"/>
      <c r="L10" s="33"/>
      <c r="M10" s="33"/>
      <c r="N10" s="33">
        <f>C32*'E Balans VL '!Y20/100/3.6*1000000</f>
        <v>119.94564037267385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1093.69</v>
      </c>
      <c r="C15" s="33"/>
      <c r="D15" s="37">
        <f>IF( ISERROR(IND_rest_gas_kWh/1000),0,IND_rest_gas_kWh/1000)*0.902</f>
        <v>197.18934623026433</v>
      </c>
      <c r="E15" s="33">
        <f>C37*'E Balans VL '!I15/100/3.6*1000000</f>
        <v>55.639412057132439</v>
      </c>
      <c r="F15" s="33">
        <f>C37*'E Balans VL '!L15/100/3.6*1000000+C37*'E Balans VL '!N15/100/3.6*1000000</f>
        <v>249.29310022779467</v>
      </c>
      <c r="G15" s="34"/>
      <c r="H15" s="33"/>
      <c r="I15" s="33"/>
      <c r="J15" s="40">
        <f>C37*'E Balans VL '!D15/100/3.6*1000000+C37*'E Balans VL '!E15/100/3.6*1000000</f>
        <v>4.5883908623683523</v>
      </c>
      <c r="K15" s="33"/>
      <c r="L15" s="33"/>
      <c r="M15" s="33"/>
      <c r="N15" s="33">
        <f>C37*'E Balans VL '!Y15/100/3.6*1000000</f>
        <v>59.580946710154585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4889.5111299999999</v>
      </c>
      <c r="C18" s="21">
        <f>C5+C16</f>
        <v>0</v>
      </c>
      <c r="D18" s="21">
        <f>MAX((D5+D16),0)</f>
        <v>748.78295275317373</v>
      </c>
      <c r="E18" s="21">
        <f>MAX((E5+E16),0)</f>
        <v>1017.7143416102621</v>
      </c>
      <c r="F18" s="21">
        <f>MAX((F5+F16),0)</f>
        <v>3450.9539983603622</v>
      </c>
      <c r="G18" s="21"/>
      <c r="H18" s="21"/>
      <c r="I18" s="21"/>
      <c r="J18" s="21">
        <f>MAX((J5+J16),0)</f>
        <v>10.03443323593843</v>
      </c>
      <c r="K18" s="21"/>
      <c r="L18" s="21">
        <f>MAX((L5+L16),0)</f>
        <v>0</v>
      </c>
      <c r="M18" s="21"/>
      <c r="N18" s="21">
        <f>MAX((N5+N16),0)</f>
        <v>462.24793948244343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0.12574415316509738</v>
      </c>
      <c r="C20" s="25">
        <f ca="1">'EF ele_warmte'!B22</f>
        <v>6.5313286680985699E-6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614.82743643316837</v>
      </c>
      <c r="C22" s="23">
        <f ca="1">C18*C20</f>
        <v>0</v>
      </c>
      <c r="D22" s="23">
        <f>D18*D20</f>
        <v>151.25415645614109</v>
      </c>
      <c r="E22" s="23">
        <f>E18*E20</f>
        <v>231.0211555455295</v>
      </c>
      <c r="F22" s="23">
        <f>F18*F20</f>
        <v>921.40471756221677</v>
      </c>
      <c r="G22" s="23"/>
      <c r="H22" s="23"/>
      <c r="I22" s="23"/>
      <c r="J22" s="23">
        <f>J18*J20</f>
        <v>3.5521893655222039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85.514030000000005</v>
      </c>
      <c r="C30" s="39">
        <f>IF(ISERROR(B30*3.6/1000000/'E Balans VL '!Z18*100),0,B30*3.6/1000000/'E Balans VL '!Z18*100)</f>
        <v>1.1969114413467791E-2</v>
      </c>
      <c r="D30" s="237" t="s">
        <v>691</v>
      </c>
    </row>
    <row r="31" spans="1:18">
      <c r="A31" s="6" t="s">
        <v>32</v>
      </c>
      <c r="B31" s="37">
        <f>IF( ISERROR(IND_ander_ele_kWh/1000),0,IND_ander_ele_kWh/1000)</f>
        <v>3482.7559999999999</v>
      </c>
      <c r="C31" s="39">
        <f>IF(ISERROR(B31*3.6/1000000/'E Balans VL '!Z19*100),0,B31*3.6/1000000/'E Balans VL '!Z19*100)</f>
        <v>0.15243966513670718</v>
      </c>
      <c r="D31" s="237" t="s">
        <v>691</v>
      </c>
    </row>
    <row r="32" spans="1:18">
      <c r="A32" s="171" t="s">
        <v>40</v>
      </c>
      <c r="B32" s="37">
        <f>IF( ISERROR(IND_voed_ele_kWh/1000),0,IND_voed_ele_kWh/1000)</f>
        <v>227.55110000000002</v>
      </c>
      <c r="C32" s="39">
        <f>IF(ISERROR(B32*3.6/1000000/'E Balans VL '!Z20*100),0,B32*3.6/1000000/'E Balans VL '!Z20*100)</f>
        <v>5.6334095760701891E-2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1093.69</v>
      </c>
      <c r="C37" s="39">
        <f>IF(ISERROR(B37*3.6/1000000/'E Balans VL '!Z15*100),0,B37*3.6/1000000/'E Balans VL '!Z15*100)</f>
        <v>8.109524102348345E-3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4786.8703700000005</v>
      </c>
      <c r="C5" s="17">
        <f>'Eigen informatie GS &amp; warmtenet'!B60</f>
        <v>0</v>
      </c>
      <c r="D5" s="30">
        <f>IF(ISERROR(SUM(LB_lb_gas_kWh,LB_rest_gas_kWh)/1000),0,SUM(LB_lb_gas_kWh,LB_rest_gas_kWh)/1000)*0.902</f>
        <v>662.75354354784224</v>
      </c>
      <c r="E5" s="17">
        <f>B17*'E Balans VL '!I25/3.6*1000000/100</f>
        <v>44.337998292547589</v>
      </c>
      <c r="F5" s="17">
        <f>B17*('E Balans VL '!L25/3.6*1000000+'E Balans VL '!N25/3.6*1000000)/100</f>
        <v>12145.20202655968</v>
      </c>
      <c r="G5" s="18"/>
      <c r="H5" s="17"/>
      <c r="I5" s="17"/>
      <c r="J5" s="17">
        <f>('E Balans VL '!D25+'E Balans VL '!E25)/3.6*1000000*landbouw!B17/100</f>
        <v>733.88064935024556</v>
      </c>
      <c r="K5" s="17"/>
      <c r="L5" s="17">
        <f>L6*(-1)</f>
        <v>0</v>
      </c>
      <c r="M5" s="17"/>
      <c r="N5" s="17">
        <f>N6*(-1)</f>
        <v>36385.71428571429</v>
      </c>
      <c r="O5" s="17"/>
      <c r="P5" s="17"/>
      <c r="R5" s="32"/>
    </row>
    <row r="6" spans="1:18">
      <c r="A6" s="16" t="s">
        <v>493</v>
      </c>
      <c r="B6" s="17" t="s">
        <v>210</v>
      </c>
      <c r="C6" s="17">
        <f>'lokale energieproductie'!O39+'lokale energieproductie'!O32</f>
        <v>18192.857142857145</v>
      </c>
      <c r="D6" s="308">
        <f>('lokale energieproductie'!P32+'lokale energieproductie'!P39)*(-1)</f>
        <v>-1</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4786.8703700000005</v>
      </c>
      <c r="C8" s="21">
        <f>C5+C6</f>
        <v>18192.857142857145</v>
      </c>
      <c r="D8" s="21">
        <f>MAX((D5+D6),0)</f>
        <v>661.75354354784224</v>
      </c>
      <c r="E8" s="21">
        <f>MAX((E5+E6),0)</f>
        <v>44.337998292547589</v>
      </c>
      <c r="F8" s="21">
        <f>MAX((F5+F6),0)</f>
        <v>12145.20202655968</v>
      </c>
      <c r="G8" s="21"/>
      <c r="H8" s="21"/>
      <c r="I8" s="21"/>
      <c r="J8" s="21">
        <f>MAX((J5+J6),0)</f>
        <v>733.88064935024556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0.12574415316509738</v>
      </c>
      <c r="C10" s="31">
        <f ca="1">'EF ele_warmte'!B22</f>
        <v>6.5313286680985699E-6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601.92096098674642</v>
      </c>
      <c r="C12" s="23">
        <f ca="1">C8*C10</f>
        <v>0.11882352941176472</v>
      </c>
      <c r="D12" s="23">
        <f>D8*D10</f>
        <v>133.67421579666413</v>
      </c>
      <c r="E12" s="23">
        <f>E8*E10</f>
        <v>10.064725612408303</v>
      </c>
      <c r="F12" s="23">
        <f>F8*F10</f>
        <v>3242.768941091435</v>
      </c>
      <c r="G12" s="23"/>
      <c r="H12" s="23"/>
      <c r="I12" s="23"/>
      <c r="J12" s="23">
        <f>J8*J10</f>
        <v>259.79374986998693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0.6805914674181146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637.73348731872875</v>
      </c>
      <c r="C26" s="247">
        <f>B26*'GWP N2O_CH4'!B5</f>
        <v>13392.403233693303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423.46933474063928</v>
      </c>
      <c r="C27" s="247">
        <f>B27*'GWP N2O_CH4'!B5</f>
        <v>8892.8560295534244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9.1269343114330965</v>
      </c>
      <c r="C28" s="247">
        <f>B28*'GWP N2O_CH4'!B4</f>
        <v>2829.3496365442597</v>
      </c>
      <c r="D28" s="50"/>
    </row>
    <row r="29" spans="1:4">
      <c r="A29" s="41" t="s">
        <v>276</v>
      </c>
      <c r="B29" s="247">
        <f>B34*'ha_N2O bodem landbouw'!B4</f>
        <v>27.048450285050198</v>
      </c>
      <c r="C29" s="247">
        <f>B29*'GWP N2O_CH4'!B4</f>
        <v>8385.0195883655615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6.0664908779931581E-3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2.1306374482707199E-5</v>
      </c>
      <c r="C5" s="438" t="s">
        <v>210</v>
      </c>
      <c r="D5" s="423">
        <f>SUM(D6:D11)</f>
        <v>4.8813451050955587E-5</v>
      </c>
      <c r="E5" s="423">
        <f>SUM(E6:E11)</f>
        <v>4.5825160194592747E-4</v>
      </c>
      <c r="F5" s="436" t="s">
        <v>210</v>
      </c>
      <c r="G5" s="423">
        <f>SUM(G6:G11)</f>
        <v>0.1385074511775268</v>
      </c>
      <c r="H5" s="423">
        <f>SUM(H6:H11)</f>
        <v>2.9303683615800186E-2</v>
      </c>
      <c r="I5" s="438" t="s">
        <v>210</v>
      </c>
      <c r="J5" s="438" t="s">
        <v>210</v>
      </c>
      <c r="K5" s="438" t="s">
        <v>210</v>
      </c>
      <c r="L5" s="438" t="s">
        <v>210</v>
      </c>
      <c r="M5" s="423">
        <f>SUM(M6:M11)</f>
        <v>8.9241138569522808E-3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1.1947138638554649E-5</v>
      </c>
      <c r="C6" s="424"/>
      <c r="D6" s="866">
        <f>vkm_GW_PW*SUMIFS(TableVerdeelsleutelVkm[CNG],TableVerdeelsleutelVkm[Voertuigtype],"Lichte voertuigen")*SUMIFS(TableECFTransport[EnergieConsumptieFactor (PJ per km)],TableECFTransport[Index],CONCATENATE($A6,"_CNG_CNG"))</f>
        <v>2.084757159242594E-5</v>
      </c>
      <c r="E6" s="866">
        <f>vkm_GW_PW*SUMIFS(TableVerdeelsleutelVkm[LPG],TableVerdeelsleutelVkm[Voertuigtype],"Lichte voertuigen")*SUMIFS(TableECFTransport[EnergieConsumptieFactor (PJ per km)],TableECFTransport[Index],CONCATENATE($A6,"_LPG_LPG"))</f>
        <v>2.0191897895995554E-4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4.7454434461936465E-2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1.2766932705080478E-2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3.140701040832145E-3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2.1226619556361143E-2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4.116516242657807E-7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1.2306714136175395E-3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9.3592358441525499E-6</v>
      </c>
      <c r="C8" s="424"/>
      <c r="D8" s="426">
        <f>vkm_NGW_PW*SUMIFS(TableVerdeelsleutelVkm[CNG],TableVerdeelsleutelVkm[Voertuigtype],"Lichte voertuigen")*SUMIFS(TableECFTransport[EnergieConsumptieFactor (PJ per km)],TableECFTransport[Index],CONCATENATE($A8,"_CNG_CNG"))</f>
        <v>2.796587945852965E-5</v>
      </c>
      <c r="E8" s="426">
        <f>vkm_NGW_PW*SUMIFS(TableVerdeelsleutelVkm[LPG],TableVerdeelsleutelVkm[Voertuigtype],"Lichte voertuigen")*SUMIFS(TableECFTransport[EnergieConsumptieFactor (PJ per km)],TableECFTransport[Index],CONCATENATE($A8,"_LPG_LPG"))</f>
        <v>2.5633262298597196E-4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5.6547439006150391E-2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1.6536020274803921E-2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3.7828555545029912E-3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1.3278958153078804E-2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3.1898429152161513E-7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7.6988584799960532E-4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5.9184373563075559</v>
      </c>
      <c r="C14" s="21"/>
      <c r="D14" s="21">
        <f t="shared" ref="D14:M14" si="0">((D5)*10^9/3600)+D12</f>
        <v>13.559291958598774</v>
      </c>
      <c r="E14" s="21">
        <f t="shared" si="0"/>
        <v>127.29211165164652</v>
      </c>
      <c r="F14" s="21"/>
      <c r="G14" s="21">
        <f t="shared" si="0"/>
        <v>38474.291993757448</v>
      </c>
      <c r="H14" s="21">
        <f t="shared" si="0"/>
        <v>8139.9121155000521</v>
      </c>
      <c r="I14" s="21"/>
      <c r="J14" s="21"/>
      <c r="K14" s="21"/>
      <c r="L14" s="21"/>
      <c r="M14" s="21">
        <f t="shared" si="0"/>
        <v>2478.9205158200784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0.12574415316509738</v>
      </c>
      <c r="C16" s="56">
        <f ca="1">'EF ele_warmte'!B22</f>
        <v>6.5313286680985699E-6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0.74420889342957131</v>
      </c>
      <c r="C18" s="23"/>
      <c r="D18" s="23">
        <f t="shared" ref="D18:M18" si="1">D14*D16</f>
        <v>2.7389769756369526</v>
      </c>
      <c r="E18" s="23">
        <f t="shared" si="1"/>
        <v>28.89530934492376</v>
      </c>
      <c r="F18" s="23"/>
      <c r="G18" s="23">
        <f t="shared" si="1"/>
        <v>10272.635962333239</v>
      </c>
      <c r="H18" s="23">
        <f t="shared" si="1"/>
        <v>2026.838116759513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2.1768848616988451E-3</v>
      </c>
      <c r="H50" s="319">
        <f t="shared" si="2"/>
        <v>0</v>
      </c>
      <c r="I50" s="319">
        <f t="shared" si="2"/>
        <v>0</v>
      </c>
      <c r="J50" s="319">
        <f t="shared" si="2"/>
        <v>0</v>
      </c>
      <c r="K50" s="319">
        <f t="shared" si="2"/>
        <v>0</v>
      </c>
      <c r="L50" s="319">
        <f t="shared" si="2"/>
        <v>0</v>
      </c>
      <c r="M50" s="319">
        <f t="shared" si="2"/>
        <v>1.2442411289307825E-4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2.1768848616988451E-3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1.2442411289307825E-4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604.69023936079032</v>
      </c>
      <c r="H54" s="21">
        <f t="shared" si="3"/>
        <v>0</v>
      </c>
      <c r="I54" s="21">
        <f t="shared" si="3"/>
        <v>0</v>
      </c>
      <c r="J54" s="21">
        <f t="shared" si="3"/>
        <v>0</v>
      </c>
      <c r="K54" s="21">
        <f t="shared" si="3"/>
        <v>0</v>
      </c>
      <c r="L54" s="21">
        <f t="shared" si="3"/>
        <v>0</v>
      </c>
      <c r="M54" s="21">
        <f t="shared" si="3"/>
        <v>34.56225358141063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0.12574415316509738</v>
      </c>
      <c r="C56" s="56">
        <f ca="1">'EF ele_warmte'!B22</f>
        <v>6.5313286680985699E-6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161.45229390933102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5849.3067322477855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12735</v>
      </c>
      <c r="C8" s="545">
        <f>B48</f>
        <v>0.41176470588235292</v>
      </c>
      <c r="D8" s="1022"/>
      <c r="E8" s="1022">
        <f>E48</f>
        <v>0</v>
      </c>
      <c r="F8" s="1023"/>
      <c r="G8" s="546"/>
      <c r="H8" s="1022">
        <f>I48</f>
        <v>0</v>
      </c>
      <c r="I8" s="1022">
        <f>G48+F48</f>
        <v>0</v>
      </c>
      <c r="J8" s="1022">
        <f>H48+D48+C48</f>
        <v>14982.352941176472</v>
      </c>
      <c r="K8" s="1022"/>
      <c r="L8" s="1022"/>
      <c r="M8" s="1022"/>
      <c r="N8" s="547"/>
      <c r="O8" s="548">
        <f>C8*$C$12+D8*$D$12+E8*$E$12+F8*$F$12+G8*$G$12+H8*$H$12+I8*$I$12+J8*$J$12</f>
        <v>8.3176470588235296E-2</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18584.306732247787</v>
      </c>
      <c r="C10" s="558">
        <f t="shared" ref="C10:L10" si="0">SUM(C8:C9)</f>
        <v>0.41176470588235292</v>
      </c>
      <c r="D10" s="558">
        <f t="shared" si="0"/>
        <v>0</v>
      </c>
      <c r="E10" s="558">
        <f t="shared" si="0"/>
        <v>0</v>
      </c>
      <c r="F10" s="558">
        <f t="shared" si="0"/>
        <v>0</v>
      </c>
      <c r="G10" s="558">
        <f t="shared" si="0"/>
        <v>0</v>
      </c>
      <c r="H10" s="558">
        <f t="shared" si="0"/>
        <v>0</v>
      </c>
      <c r="I10" s="558">
        <f t="shared" si="0"/>
        <v>0</v>
      </c>
      <c r="J10" s="558">
        <f t="shared" si="0"/>
        <v>14982.352941176472</v>
      </c>
      <c r="K10" s="558">
        <f t="shared" si="0"/>
        <v>0</v>
      </c>
      <c r="L10" s="558">
        <f t="shared" si="0"/>
        <v>0</v>
      </c>
      <c r="M10" s="1025"/>
      <c r="N10" s="1025"/>
      <c r="O10" s="559">
        <f>SUM(O4:O9)</f>
        <v>8.3176470588235296E-2</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18192.857142857145</v>
      </c>
      <c r="C17" s="570">
        <f>B49</f>
        <v>0.58823529411764708</v>
      </c>
      <c r="D17" s="571"/>
      <c r="E17" s="571">
        <f>E49</f>
        <v>0</v>
      </c>
      <c r="F17" s="1028"/>
      <c r="G17" s="572"/>
      <c r="H17" s="570">
        <f>I49</f>
        <v>0</v>
      </c>
      <c r="I17" s="571">
        <f>G49+F49</f>
        <v>0</v>
      </c>
      <c r="J17" s="571">
        <f>H49+D49+C49</f>
        <v>21403.361344537818</v>
      </c>
      <c r="K17" s="571"/>
      <c r="L17" s="571"/>
      <c r="M17" s="571"/>
      <c r="N17" s="1029"/>
      <c r="O17" s="573">
        <f>C17*$C$22+E17*$E$22+H17*$H$22+I17*$I$22+J17*$J$22+D17*$D$22+F17*$F$22+G17*$G$22+K17*$K$22+L17*$L$22</f>
        <v>0.11882352941176472</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18192.857142857145</v>
      </c>
      <c r="C20" s="557">
        <f>SUM(C17:C19)</f>
        <v>0.58823529411764708</v>
      </c>
      <c r="D20" s="557">
        <f t="shared" ref="D20:L20" si="1">SUM(D17:D19)</f>
        <v>0</v>
      </c>
      <c r="E20" s="557">
        <f t="shared" si="1"/>
        <v>0</v>
      </c>
      <c r="F20" s="557">
        <f t="shared" si="1"/>
        <v>0</v>
      </c>
      <c r="G20" s="557">
        <f t="shared" si="1"/>
        <v>0</v>
      </c>
      <c r="H20" s="557">
        <f t="shared" si="1"/>
        <v>0</v>
      </c>
      <c r="I20" s="557">
        <f t="shared" si="1"/>
        <v>0</v>
      </c>
      <c r="J20" s="557">
        <f t="shared" si="1"/>
        <v>21403.361344537818</v>
      </c>
      <c r="K20" s="557">
        <f t="shared" si="1"/>
        <v>0</v>
      </c>
      <c r="L20" s="557">
        <f t="shared" si="1"/>
        <v>0</v>
      </c>
      <c r="M20" s="557"/>
      <c r="N20" s="557"/>
      <c r="O20" s="576">
        <f>SUM(O17:O19)</f>
        <v>0.11882352941176472</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32006</v>
      </c>
      <c r="C28" s="771">
        <v>8650</v>
      </c>
      <c r="D28" s="628" t="s">
        <v>913</v>
      </c>
      <c r="E28" s="627" t="s">
        <v>914</v>
      </c>
      <c r="F28" s="627" t="s">
        <v>915</v>
      </c>
      <c r="G28" s="627" t="s">
        <v>916</v>
      </c>
      <c r="H28" s="627" t="s">
        <v>917</v>
      </c>
      <c r="I28" s="627" t="s">
        <v>914</v>
      </c>
      <c r="J28" s="770">
        <v>40919</v>
      </c>
      <c r="K28" s="770">
        <v>40919</v>
      </c>
      <c r="L28" s="627" t="s">
        <v>918</v>
      </c>
      <c r="M28" s="627">
        <v>2830</v>
      </c>
      <c r="N28" s="627">
        <v>12735</v>
      </c>
      <c r="O28" s="627">
        <v>18192.857142857145</v>
      </c>
      <c r="P28" s="627">
        <v>1</v>
      </c>
      <c r="Q28" s="627">
        <v>36385.71428571429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2830</v>
      </c>
      <c r="N29" s="585">
        <f>SUM(N28:N28)</f>
        <v>12735</v>
      </c>
      <c r="O29" s="585">
        <f>SUM(O28:O28)</f>
        <v>18192.857142857145</v>
      </c>
      <c r="P29" s="585">
        <f>SUM(P28:P28)</f>
        <v>1</v>
      </c>
      <c r="Q29" s="585">
        <f>SUM(Q28:Q28)</f>
        <v>36385.71428571429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2830</v>
      </c>
      <c r="N32" s="590">
        <f>SUMIF($Z$28:$Z$28,"landbouw",N28:N28)</f>
        <v>12735</v>
      </c>
      <c r="O32" s="590">
        <f>SUMIF($Z$28:$Z$28,"landbouw",O28:O28)</f>
        <v>18192.857142857145</v>
      </c>
      <c r="P32" s="590">
        <f>SUMIF($Z$28:$Z$28,"landbouw",P28:P28)</f>
        <v>1</v>
      </c>
      <c r="Q32" s="590">
        <f>SUMIF($Z$28:$Z$28,"landbouw",Q28:Q28)</f>
        <v>36385.71428571429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0.41176470588235292</v>
      </c>
      <c r="C48" s="619">
        <f t="shared" si="2"/>
        <v>14982.352941176472</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0.58823529411764708</v>
      </c>
      <c r="C49" s="622">
        <f t="shared" si="3"/>
        <v>21403.361344537818</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2020-06-20T16:06:54Z</dcterms:modified>
</cp:coreProperties>
</file>