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Q46" i="14" l="1"/>
  <c r="Q61" i="14" s="1"/>
  <c r="Q63" i="14" s="1"/>
  <c r="O22" i="16"/>
  <c r="P43" i="14" s="1"/>
  <c r="O8" i="48"/>
  <c r="O26" i="48" s="1"/>
  <c r="P13" i="14"/>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J5" i="48"/>
  <c r="J23" i="48" s="1"/>
  <c r="K10" i="14"/>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F13" i="14"/>
  <c r="F16" i="14" s="1"/>
  <c r="F27" i="14" s="1"/>
  <c r="F63" i="14" s="1"/>
  <c r="E8" i="48"/>
  <c r="E26" i="48" s="1"/>
  <c r="E33" i="48" s="1"/>
  <c r="J22" i="16"/>
  <c r="K43" i="14" s="1"/>
  <c r="K46" i="14" s="1"/>
  <c r="K61" i="14" s="1"/>
  <c r="K63" i="14" s="1"/>
  <c r="J8" i="48"/>
  <c r="J26" i="48" s="1"/>
  <c r="J33" i="48" s="1"/>
  <c r="K13" i="14"/>
  <c r="G33" i="48"/>
  <c r="I22" i="14"/>
  <c r="I27" i="14" s="1"/>
  <c r="I63" i="14" s="1"/>
  <c r="R20" i="14"/>
  <c r="R22" i="14" s="1"/>
  <c r="H27" i="48"/>
  <c r="H33" i="48" s="1"/>
  <c r="H15" i="48"/>
  <c r="O13" i="14"/>
  <c r="N8" i="48"/>
  <c r="N26" i="48" s="1"/>
  <c r="F8" i="48"/>
  <c r="G13" i="14"/>
  <c r="J15" i="48"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<sst xmlns="http://schemas.openxmlformats.org/spreadsheetml/2006/main" count="2461" uniqueCount="932">
  <si>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</si>
  <si>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</si>
  <si>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</si>
  <si>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</si>
  <si>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</si>
  <si>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</si>
  <si>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</si>
  <si>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</si>
  <si>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</si>
  <si>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</si>
  <si>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</si>
  <si>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</si>
  <si>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</si>
  <si>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</si>
  <si>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</si>
  <si>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</si>
  <si>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</si>
  <si>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</si>
  <si>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</si>
  <si>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</si>
  <si>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</si>
  <si>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</si>
  <si>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</si>
  <si>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</si>
  <si>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</si>
  <si>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</si>
  <si>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</si>
  <si>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</si>
  <si>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</si>
  <si>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</si>
  <si>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</si>
  <si>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</si>
  <si>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</si>
  <si>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</si>
  <si>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</si>
  <si>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</si>
  <si>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</si>
  <si>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</si>
  <si>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</si>
  <si>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</si>
  <si>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</si>
  <si>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</si>
  <si>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</si>
  <si>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</si>
  <si>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</si>
  <si>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</si>
  <si>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</si>
  <si>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</si>
  <si>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</si>
  <si>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</si>
  <si>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</si>
  <si>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</si>
  <si>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</si>
  <si>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</si>
  <si>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</si>
  <si>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</si>
  <si>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</si>
  <si>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</si>
  <si>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</si>
  <si>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</si>
  <si>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</si>
  <si>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</si>
  <si>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</si>
  <si>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</si>
  <si>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</si>
  <si>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</si>
  <si>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</si>
  <si>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</si>
  <si>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</si>
  <si>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</si>
  <si>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</si>
  <si>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</si>
  <si>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</si>
  <si>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</si>
  <si>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</si>
  <si>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</si>
  <si>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</si>
  <si>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</si>
  <si>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</si>
  <si>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</si>
  <si>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</si>
  <si>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</si>
  <si>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</si>
  <si>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</si>
  <si>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</si>
  <si>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</si>
  <si>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</si>
  <si>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</si>
  <si>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</si>
  <si>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</si>
  <si>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</si>
  <si>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</si>
  <si>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</si>
  <si>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</si>
  <si>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</si>
  <si>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</si>
  <si>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</si>
  <si>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</si>
  <si>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</si>
  <si>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</si>
  <si>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</si>
  <si>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</si>
  <si>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</si>
  <si>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</si>
  <si>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</si>
  <si>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</si>
  <si>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</si>
  <si>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</si>
  <si>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</si>
  <si>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</si>
  <si>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</si>
  <si>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</si>
  <si>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</si>
  <si>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</si>
  <si>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</si>
  <si>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</si>
  <si>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</si>
  <si>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</si>
  <si>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</si>
  <si>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</si>
  <si>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</si>
  <si>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</si>
  <si>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</si>
  <si>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</si>
  <si>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</si>
  <si>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</si>
  <si>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</si>
  <si>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</si>
  <si>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</si>
  <si>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</si>
  <si>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</si>
  <si>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</si>
  <si>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</si>
  <si>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</si>
  <si>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</si>
  <si>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</si>
  <si>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</si>
  <si>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</si>
  <si>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</si>
  <si>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</si>
  <si>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</si>
  <si>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</si>
  <si>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</si>
  <si>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</si>
  <si>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</si>
  <si>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</si>
  <si>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</si>
  <si>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</si>
  <si>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</si>
  <si>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</si>
  <si>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</si>
  <si>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</si>
  <si>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</si>
  <si>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</si>
  <si>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</si>
  <si>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</si>
  <si>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</si>
  <si>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</si>
  <si>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</si>
  <si>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</si>
  <si>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</si>
  <si>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</si>
  <si>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</si>
  <si>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</si>
  <si>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</si>
  <si>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</si>
  <si>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</si>
  <si>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</si>
  <si>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</si>
  <si>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</si>
  <si>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</si>
  <si>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</si>
  <si>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</si>
  <si>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</si>
  <si>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</si>
  <si>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</si>
  <si>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</si>
  <si>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</si>
  <si>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</si>
  <si>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</si>
  <si>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</si>
  <si>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</si>
  <si>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</si>
  <si>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</si>
  <si>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</si>
  <si>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</si>
  <si>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</si>
  <si>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</si>
  <si>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</si>
  <si>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</si>
  <si>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</si>
  <si>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</si>
  <si>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</si>
  <si>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</si>
  <si>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</si>
  <si>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</si>
  <si>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</si>
  <si>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</si>
  <si>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</si>
  <si>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</si>
  <si>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</si>
  <si>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</si>
  <si>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</si>
  <si>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</si>
  <si>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</si>
  <si>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</si>
  <si>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</si>
  <si>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</si>
  <si>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</si>
  <si>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</si>
  <si>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</si>
  <si>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</si>
  <si>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</si>
  <si>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</si>
  <si>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</si>
  <si>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</si>
  <si>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</si>
  <si>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</si>
  <si>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</si>
  <si>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</si>
  <si>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</si>
  <si>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</si>
  <si>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</si>
  <si>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</si>
  <si>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</si>
  <si>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</si>
  <si>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</si>
  <si>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</si>
  <si>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</si>
  <si>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</si>
  <si>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</si>
  <si>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</si>
  <si>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</si>
  <si>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</si>
  <si>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</si>
  <si>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</si>
  <si>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</si>
  <si>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</si>
  <si>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</si>
  <si>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</si>
  <si>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</si>
  <si>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</si>
  <si>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</si>
  <si>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</si>
  <si>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</si>
  <si>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</si>
  <si>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</si>
  <si>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</si>
  <si>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</si>
  <si>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</si>
  <si>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</si>
  <si>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</si>
  <si>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</si>
  <si>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</si>
  <si>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</si>
  <si>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</si>
  <si>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</si>
  <si>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</si>
  <si>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</si>
  <si>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</si>
  <si>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</si>
  <si>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</si>
  <si>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</si>
  <si>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</si>
  <si>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</si>
  <si>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</si>
  <si>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</si>
  <si>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</si>
  <si>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</si>
  <si>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</si>
  <si>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</si>
  <si>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</si>
  <si>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</si>
  <si>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</si>
  <si>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</si>
  <si>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</si>
  <si>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</si>
  <si>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</si>
  <si>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</si>
  <si>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</si>
  <si>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</si>
  <si>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</si>
  <si>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</si>
  <si>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</si>
  <si>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</si>
  <si>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</si>
  <si>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</si>
  <si>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</si>
  <si>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</si>
  <si>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</si>
  <si>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</si>
  <si>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</si>
  <si>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</si>
  <si>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</si>
  <si>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</si>
  <si>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</si>
  <si>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</si>
  <si>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</si>
  <si>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</si>
  <si>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</si>
  <si>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</si>
  <si>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</si>
  <si>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</si>
  <si>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</si>
  <si>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</si>
  <si>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</si>
  <si>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</si>
  <si>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</si>
  <si>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</si>
  <si>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</si>
  <si>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</si>
  <si>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</si>
  <si>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</si>
  <si>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</si>
  <si>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</si>
  <si>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</si>
  <si>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</si>
  <si>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</si>
  <si>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</si>
  <si>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</si>
  <si>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</si>
  <si>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</si>
  <si>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</si>
  <si>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</si>
  <si>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</si>
  <si>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</si>
  <si>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</si>
  <si>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</si>
  <si>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</si>
  <si>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</si>
  <si>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</si>
  <si>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</si>
  <si>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</si>
  <si>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</si>
  <si>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</si>
  <si>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</si>
  <si>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</si>
  <si>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</si>
  <si>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</si>
  <si>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</si>
  <si>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</si>
  <si>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</si>
  <si>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</si>
  <si>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</si>
  <si>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</si>
  <si>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</si>
  <si>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</si>
  <si>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</si>
  <si>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</si>
  <si>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</si>
  <si>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</si>
  <si>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</si>
  <si>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</si>
  <si>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</si>
  <si>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</si>
  <si>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</si>
  <si>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</si>
  <si>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</si>
  <si>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</si>
  <si>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</si>
  <si>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</si>
  <si>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</si>
  <si>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</si>
  <si>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</si>
  <si>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</si>
  <si>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</si>
  <si>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</si>
  <si>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</si>
  <si>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</si>
  <si>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</si>
  <si>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</si>
  <si>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</si>
  <si>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</si>
  <si>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</si>
  <si>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</si>
  <si>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</si>
  <si>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</si>
  <si>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</si>
  <si>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</si>
  <si>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</si>
  <si>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</si>
  <si>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</si>
  <si>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</si>
  <si>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</si>
  <si>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</si>
  <si>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</si>
  <si>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</si>
  <si>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</si>
  <si>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</si>
  <si>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</si>
  <si>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</si>
  <si>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</si>
  <si>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</si>
  <si>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</si>
  <si>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</si>
  <si>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</si>
  <si>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</si>
  <si>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</si>
  <si>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</si>
  <si>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</si>
  <si>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</si>
  <si>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</si>
  <si>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</si>
  <si>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</si>
  <si>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</si>
  <si>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</si>
  <si>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</si>
  <si>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</si>
  <si>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</si>
  <si>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</si>
  <si>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</si>
  <si>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</si>
  <si>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</si>
  <si>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</si>
  <si>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</si>
  <si>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</si>
  <si>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</si>
  <si>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</si>
  <si>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</si>
  <si>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</si>
  <si>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</si>
  <si>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</si>
  <si>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</si>
  <si>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</si>
  <si>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</si>
  <si>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</si>
  <si>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</si>
  <si>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</si>
  <si>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</si>
  <si>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</si>
  <si>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</si>
  <si>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</si>
  <si>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</si>
  <si>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</si>
  <si>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</si>
  <si>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</si>
  <si>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</si>
  <si>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</si>
  <si>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</si>
  <si>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</si>
  <si>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</si>
  <si>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</si>
  <si>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</si>
  <si>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</si>
  <si>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</si>
  <si>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</si>
  <si>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</si>
  <si>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</si>
  <si>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</si>
  <si>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</si>
  <si>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</si>
  <si>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</si>
  <si>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</si>
  <si>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</si>
  <si>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</si>
  <si>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</si>
  <si>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</si>
  <si>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</si>
  <si>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</si>
  <si>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</si>
  <si>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</si>
  <si>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</si>
  <si>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</si>
  <si>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</si>
  <si>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</si>
  <si>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</si>
  <si>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</si>
  <si>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</si>
  <si>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</si>
  <si>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</si>
  <si>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</si>
  <si>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</si>
  <si>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</si>
  <si>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</si>
  <si>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</si>
  <si>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</si>
  <si>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</si>
  <si>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</si>
  <si>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</si>
  <si>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</si>
  <si>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</si>
  <si>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</si>
  <si>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</si>
  <si>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</si>
  <si>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</si>
  <si>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</si>
  <si>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</si>
  <si>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</si>
  <si>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</si>
  <si>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</si>
  <si>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</si>
  <si>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</si>
  <si>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</si>
  <si>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</si>
  <si>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</si>
  <si>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</si>
  <si>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</si>
  <si>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</si>
  <si>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</si>
  <si>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</si>
  <si>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</si>
  <si>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</si>
  <si>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</si>
  <si>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</si>
  <si>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</si>
  <si>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</si>
  <si>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</si>
  <si>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</si>
  <si>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</si>
  <si>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</si>
  <si>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</si>
  <si>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</si>
  <si>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</si>
  <si>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</si>
  <si>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</si>
  <si>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</si>
  <si>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</si>
  <si>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</si>
  <si>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</si>
  <si>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</si>
  <si>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</si>
  <si>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</si>
  <si>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</si>
  <si>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</si>
  <si>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</si>
  <si>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</si>
  <si>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</si>
  <si>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</si>
  <si>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</si>
  <si>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</si>
  <si>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</si>
  <si>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</si>
  <si>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</si>
  <si>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</si>
  <si>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</si>
  <si>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</si>
  <si>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</si>
  <si>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</si>
  <si>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</si>
  <si>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</si>
  <si>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</si>
  <si>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</si>
  <si>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</si>
  <si>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</si>
  <si>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</si>
  <si>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</si>
  <si>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</si>
  <si>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</si>
  <si>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</si>
  <si>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</si>
  <si>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</si>
  <si>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</si>
  <si>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</si>
  <si>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</si>
  <si>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</si>
  <si>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</si>
  <si>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</si>
  <si>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</si>
  <si>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</si>
  <si>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</si>
  <si>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</si>
  <si>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</si>
  <si>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</si>
  <si>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</si>
  <si>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</si>
  <si>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</si>
  <si>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</si>
  <si>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</si>
  <si>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</si>
  <si>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</si>
  <si>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</si>
  <si>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</si>
  <si>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</si>
  <si>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</si>
  <si>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</si>
  <si>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</si>
  <si>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</si>
  <si>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</si>
  <si>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</si>
  <si>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</si>
  <si>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</si>
  <si>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</si>
  <si>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</si>
  <si>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</si>
  <si>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</si>
  <si>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</si>
  <si>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</si>
  <si>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</si>
  <si>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</si>
  <si>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</si>
  <si>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</si>
  <si>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</si>
  <si>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</si>
  <si>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</si>
  <si>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</si>
  <si>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</si>
  <si>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</si>
  <si>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</si>
  <si>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</si>
  <si>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</si>
  <si>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</si>
  <si>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</si>
  <si>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</si>
  <si>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</si>
  <si>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</si>
  <si>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</si>
  <si>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</si>
  <si>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</si>
  <si>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</si>
  <si>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</si>
  <si>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</si>
  <si>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</si>
  <si>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</si>
  <si>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</si>
  <si>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</si>
  <si>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</si>
  <si>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</si>
  <si>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</si>
  <si>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</si>
  <si>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</si>
  <si>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</si>
  <si>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</si>
  <si>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</si>
  <si>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</si>
  <si>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</si>
  <si>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</si>
  <si>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</si>
  <si>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</si>
  <si>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</si>
  <si>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</si>
  <si>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</si>
  <si>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</si>
  <si>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</si>
  <si>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</si>
  <si>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</si>
  <si>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</si>
  <si>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</si>
  <si>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</si>
  <si>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</si>
  <si>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</si>
  <si>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</si>
  <si>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</si>
  <si>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</si>
  <si>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</si>
  <si>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</si>
  <si>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</si>
  <si>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</si>
  <si>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</si>
  <si>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</si>
  <si>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</si>
  <si>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</si>
  <si>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</si>
  <si>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</si>
  <si>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</si>
  <si>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</si>
  <si>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</si>
  <si>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</si>
  <si>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</si>
  <si>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</si>
  <si>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</si>
  <si>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</si>
  <si>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</si>
  <si>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</si>
  <si>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</si>
  <si>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</si>
  <si>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</si>
  <si>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</si>
  <si>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</si>
  <si>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</si>
  <si>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</si>
  <si>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</si>
  <si>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</si>
  <si>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</si>
  <si>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</si>
  <si>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</si>
  <si>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</si>
  <si>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</si>
  <si>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</si>
  <si>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</si>
  <si>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</si>
  <si>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</si>
  <si>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</si>
  <si>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</si>
  <si>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</si>
  <si>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</si>
  <si>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</si>
  <si>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</si>
  <si>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</si>
  <si>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</si>
  <si>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</si>
  <si>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</si>
  <si>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</si>
  <si>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</si>
  <si>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</si>
  <si>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</si>
  <si>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</si>
  <si>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</si>
  <si>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</si>
  <si>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</si>
  <si>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</si>
  <si>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</si>
  <si>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</si>
  <si>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</si>
  <si>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</si>
  <si>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</si>
  <si>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</si>
  <si>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</si>
  <si>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</si>
  <si>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</si>
  <si>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</si>
  <si>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</si>
  <si>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</si>
  <si>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</si>
  <si>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</si>
  <si>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</si>
  <si>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</si>
  <si>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</si>
  <si>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</si>
  <si>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</si>
  <si>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</si>
  <si>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</si>
  <si>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</si>
  <si>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</si>
  <si>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</si>
  <si>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</si>
  <si>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</si>
  <si>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</si>
  <si>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</si>
  <si>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</si>
  <si>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</si>
  <si>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</si>
  <si>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</si>
  <si>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</si>
  <si>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</si>
  <si>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</si>
  <si>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</si>
  <si>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</si>
  <si>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</si>
  <si>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</si>
  <si>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</si>
  <si>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</si>
  <si>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</si>
  <si>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</si>
  <si>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</si>
  <si>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</si>
  <si>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</si>
  <si>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</si>
  <si>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</si>
  <si>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</si>
  <si>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</si>
  <si>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</si>
  <si>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</si>
  <si>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</si>
  <si>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</si>
  <si>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</si>
  <si>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</si>
  <si>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</si>
  <si>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</si>
  <si>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</si>
  <si>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</si>
  <si>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</si>
  <si>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</si>
  <si>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</si>
  <si>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</si>
  <si>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</si>
  <si>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</si>
  <si>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</si>
  <si>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</si>
  <si>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</si>
  <si>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</si>
  <si>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</si>
  <si>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</si>
  <si>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</si>
  <si>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</si>
  <si>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</si>
  <si>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</si>
  <si>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</si>
  <si>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</si>
  <si>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</si>
  <si>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</si>
  <si>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</si>
  <si>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</si>
  <si>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</si>
  <si>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</si>
  <si>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</si>
  <si>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</si>
  <si>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</si>
  <si>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</si>
  <si>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</si>
  <si>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</si>
  <si>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</si>
  <si>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</si>
  <si>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</si>
  <si>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</si>
  <si>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</si>
  <si>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</si>
  <si>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</si>
  <si>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</si>
  <si>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</si>
  <si>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</si>
  <si>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</si>
  <si>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</si>
  <si>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</si>
  <si>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</si>
  <si>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</si>
  <si>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</si>
  <si>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</si>
  <si>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</si>
  <si>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</si>
  <si>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</si>
  <si>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</si>
  <si>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</si>
  <si>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</si>
  <si>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</si>
  <si>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</si>
  <si>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</si>
  <si>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</si>
  <si>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</si>
  <si>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</si>
  <si>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</si>
  <si>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</si>
  <si>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</si>
  <si>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</si>
  <si>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</si>
  <si>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</si>
  <si>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</si>
  <si>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</si>
  <si>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</si>
  <si>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</si>
  <si>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</si>
  <si>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</si>
  <si>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</si>
  <si>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</si>
  <si>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</si>
  <si>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</si>
  <si>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</si>
  <si>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</si>
  <si>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</si>
  <si>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</si>
  <si>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</si>
  <si>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</si>
  <si>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</si>
  <si>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</si>
  <si>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</si>
  <si>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</si>
  <si>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</si>
  <si>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</si>
  <si>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</si>
  <si>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</si>
  <si>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</si>
  <si>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</si>
  <si>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</si>
  <si>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</si>
  <si>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</si>
  <si>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</si>
  <si>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</si>
  <si>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</si>
  <si>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</si>
  <si>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</si>
  <si>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</si>
  <si>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</si>
  <si>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</si>
  <si>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</si>
  <si>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</si>
  <si>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</si>
  <si>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</si>
  <si>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</si>
  <si>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</si>
  <si>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</si>
  <si>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</si>
  <si>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</si>
  <si>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</si>
  <si>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</si>
  <si>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</si>
  <si>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</si>
  <si>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</si>
  <si>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</si>
  <si>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</si>
  <si>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</si>
  <si>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</si>
  <si>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</si>
  <si>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</si>
  <si>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</si>
  <si>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</si>
  <si>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</si>
  <si>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</si>
  <si>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</si>
  <si>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</si>
  <si>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</si>
  <si>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</si>
  <si>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</si>
  <si>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</si>
  <si>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</si>
  <si>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</si>
  <si>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</si>
  <si>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</si>
  <si>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</si>
  <si>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</si>
  <si>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</si>
  <si>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</si>
  <si>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</si>
  <si>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</si>
  <si>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</si>
  <si>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</si>
  <si>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</si>
  <si>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</si>
  <si>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</si>
  <si>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32003</t>
  </si>
  <si>
    <t>DIKSMUIDE</t>
  </si>
  <si>
    <t>Paarden&amp;pony's 200 - 600 kg</t>
  </si>
  <si>
    <t>Paarden&amp;pony's &lt; 200 kg</t>
  </si>
  <si>
    <t>Fluvius</t>
  </si>
  <si>
    <t>referentietaak LNE (2017); Jaarverslag De Lijn</t>
  </si>
  <si>
    <t>Biolectric nv</t>
  </si>
  <si>
    <t>Jan de Malschelaan 4 B, 9140 Temse</t>
  </si>
  <si>
    <t>WKK-0452 Johan Hollevoet</t>
  </si>
  <si>
    <t>interne verbrandingsmotor</t>
  </si>
  <si>
    <t>WKK interne verbrandinsgmotor (gas)</t>
  </si>
  <si>
    <t>Pervijzestraat 69 , 8600 Diksmuide</t>
  </si>
  <si>
    <t>Infrax West</t>
  </si>
  <si>
    <t>Ijzer Energie nv in faling</t>
  </si>
  <si>
    <t>Bosstraat 36 ,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</si>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</sst>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162966.57437741157</c:v>
                </c:pt>
                <c:pt idx="1">
                  <c:v>60151.683926332473</c:v>
                </c:pt>
                <c:pt idx="2">
                  <c:v>1334.204</c:v>
                </c:pt>
                <c:pt idx="3">
                  <c:v>36201.362176830327</c:v>
                </c:pt>
                <c:pt idx="4">
                  <c:v>55773.254797229783</c:v>
                </c:pt>
                <c:pt idx="5">
                  <c:v>133413.96312394738</c:v>
                </c:pt>
                <c:pt idx="6">
                  <c:v>1971.9682484450962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162966.57437741157</c:v>
                </c:pt>
                <c:pt idx="1">
                  <c:v>60151.683926332473</c:v>
                </c:pt>
                <c:pt idx="2">
                  <c:v>1334.204</c:v>
                </c:pt>
                <c:pt idx="3">
                  <c:v>36201.362176830327</c:v>
                </c:pt>
                <c:pt idx="4">
                  <c:v>55773.254797229783</c:v>
                </c:pt>
                <c:pt idx="5">
                  <c:v>133413.96312394738</c:v>
                </c:pt>
                <c:pt idx="6">
                  <c:v>1971.9682484450962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29716.293515939964</c:v>
                </c:pt>
                <c:pt idx="2">
                  <c:v>10678.992633578031</c:v>
                </c:pt>
                <c:pt idx="3">
                  <c:v>252.27528095054015</c:v>
                </c:pt>
                <c:pt idx="4">
                  <c:v>8971.7791359411494</c:v>
                </c:pt>
                <c:pt idx="5">
                  <c:v>11600.141441993252</c:v>
                </c:pt>
                <c:pt idx="6">
                  <c:v>33440.235533476094</c:v>
                </c:pt>
                <c:pt idx="7">
                  <c:v>498.04858133985113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29716.293515939964</c:v>
                </c:pt>
                <c:pt idx="2">
                  <c:v>10678.992633578031</c:v>
                </c:pt>
                <c:pt idx="3">
                  <c:v>252.27528095054015</c:v>
                </c:pt>
                <c:pt idx="4">
                  <c:v>8971.7791359411494</c:v>
                </c:pt>
                <c:pt idx="5">
                  <c:v>11600.141441993252</c:v>
                </c:pt>
                <c:pt idx="6">
                  <c:v>33440.235533476094</c:v>
                </c:pt>
                <c:pt idx="7">
                  <c:v>498.04858133985113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32003</v>
      </c>
      <c r="B6" s="391"/>
      <c r="C6" s="392"/>
    </row>
    <row r="7" spans="1:7" s="389" customFormat="1" ht="15.75" customHeight="1">
      <c r="A7" s="393" t="str">
        <f>txtMunicipality</f>
        <v>DIKSMUIDE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0.18908298952074806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0.18908298952074806</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6984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12287</v>
      </c>
      <c r="C14" s="330"/>
      <c r="D14" s="330"/>
      <c r="E14" s="330"/>
      <c r="F14" s="330"/>
    </row>
    <row r="15" spans="1:6">
      <c r="A15" s="1305" t="s">
        <v>183</v>
      </c>
      <c r="B15" s="1306">
        <v>167</v>
      </c>
      <c r="C15" s="330"/>
      <c r="D15" s="330"/>
      <c r="E15" s="330"/>
      <c r="F15" s="330"/>
    </row>
    <row r="16" spans="1:6">
      <c r="A16" s="1305" t="s">
        <v>6</v>
      </c>
      <c r="B16" s="1306">
        <v>6738</v>
      </c>
      <c r="C16" s="330"/>
      <c r="D16" s="330"/>
      <c r="E16" s="330"/>
      <c r="F16" s="330"/>
    </row>
    <row r="17" spans="1:6">
      <c r="A17" s="1305" t="s">
        <v>7</v>
      </c>
      <c r="B17" s="1306">
        <v>3317</v>
      </c>
      <c r="C17" s="330"/>
      <c r="D17" s="330"/>
      <c r="E17" s="330"/>
      <c r="F17" s="330"/>
    </row>
    <row r="18" spans="1:6">
      <c r="A18" s="1305" t="s">
        <v>8</v>
      </c>
      <c r="B18" s="1306">
        <v>6020</v>
      </c>
      <c r="C18" s="330"/>
      <c r="D18" s="330"/>
      <c r="E18" s="330"/>
      <c r="F18" s="330"/>
    </row>
    <row r="19" spans="1:6">
      <c r="A19" s="1305" t="s">
        <v>9</v>
      </c>
      <c r="B19" s="1306">
        <v>6081</v>
      </c>
      <c r="C19" s="330"/>
      <c r="D19" s="330"/>
      <c r="E19" s="330"/>
      <c r="F19" s="330"/>
    </row>
    <row r="20" spans="1:6">
      <c r="A20" s="1305" t="s">
        <v>10</v>
      </c>
      <c r="B20" s="1306">
        <v>4077</v>
      </c>
      <c r="C20" s="330"/>
      <c r="D20" s="330"/>
      <c r="E20" s="330"/>
      <c r="F20" s="330"/>
    </row>
    <row r="21" spans="1:6">
      <c r="A21" s="1305" t="s">
        <v>11</v>
      </c>
      <c r="B21" s="1306">
        <v>57279</v>
      </c>
      <c r="C21" s="330"/>
      <c r="D21" s="330"/>
      <c r="E21" s="330"/>
      <c r="F21" s="330"/>
    </row>
    <row r="22" spans="1:6">
      <c r="A22" s="1305" t="s">
        <v>12</v>
      </c>
      <c r="B22" s="1306">
        <v>114724</v>
      </c>
      <c r="C22" s="330"/>
      <c r="D22" s="330"/>
      <c r="E22" s="330"/>
      <c r="F22" s="330"/>
    </row>
    <row r="23" spans="1:6">
      <c r="A23" s="1305" t="s">
        <v>13</v>
      </c>
      <c r="B23" s="1306">
        <v>1745</v>
      </c>
      <c r="C23" s="330"/>
      <c r="D23" s="330"/>
      <c r="E23" s="330"/>
      <c r="F23" s="330"/>
    </row>
    <row r="24" spans="1:6">
      <c r="A24" s="1305" t="s">
        <v>14</v>
      </c>
      <c r="B24" s="1306">
        <v>96</v>
      </c>
      <c r="C24" s="330"/>
      <c r="D24" s="330"/>
      <c r="E24" s="330"/>
      <c r="F24" s="330"/>
    </row>
    <row r="25" spans="1:6">
      <c r="A25" s="1305" t="s">
        <v>15</v>
      </c>
      <c r="B25" s="1306">
        <v>12685</v>
      </c>
      <c r="C25" s="330"/>
      <c r="D25" s="330"/>
      <c r="E25" s="330"/>
      <c r="F25" s="330"/>
    </row>
    <row r="26" spans="1:6">
      <c r="A26" s="1305" t="s">
        <v>16</v>
      </c>
      <c r="B26" s="1306">
        <v>1571</v>
      </c>
      <c r="C26" s="330"/>
      <c r="D26" s="330"/>
      <c r="E26" s="330"/>
      <c r="F26" s="330"/>
    </row>
    <row r="27" spans="1:6">
      <c r="A27" s="1305" t="s">
        <v>17</v>
      </c>
      <c r="B27" s="1306">
        <v>4</v>
      </c>
      <c r="C27" s="330"/>
      <c r="D27" s="330"/>
      <c r="E27" s="330"/>
      <c r="F27" s="330"/>
    </row>
    <row r="28" spans="1:6" s="43" customFormat="1">
      <c r="A28" s="1307" t="s">
        <v>18</v>
      </c>
      <c r="B28" s="1308">
        <v>320037</v>
      </c>
      <c r="C28" s="336"/>
      <c r="D28" s="336"/>
      <c r="E28" s="336"/>
      <c r="F28" s="336"/>
    </row>
    <row r="29" spans="1:6">
      <c r="A29" s="1307" t="s">
        <v>909</v>
      </c>
      <c r="B29" s="1308">
        <v>166</v>
      </c>
      <c r="C29" s="336"/>
      <c r="D29" s="336"/>
      <c r="E29" s="336"/>
      <c r="F29" s="336"/>
    </row>
    <row r="30" spans="1:6">
      <c r="A30" s="1300" t="s">
        <v>910</v>
      </c>
      <c r="B30" s="1309">
        <v>36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13</v>
      </c>
      <c r="F36" s="1306">
        <v>76073</v>
      </c>
    </row>
    <row r="37" spans="1:6">
      <c r="A37" s="1305" t="s">
        <v>24</v>
      </c>
      <c r="B37" s="1305" t="s">
        <v>27</v>
      </c>
      <c r="C37" s="1306">
        <v>0</v>
      </c>
      <c r="D37" s="1306">
        <v>0</v>
      </c>
      <c r="E37" s="1306">
        <v>0</v>
      </c>
      <c r="F37" s="1306">
        <v>0</v>
      </c>
    </row>
    <row r="38" spans="1:6">
      <c r="A38" s="1305" t="s">
        <v>24</v>
      </c>
      <c r="B38" s="1305" t="s">
        <v>28</v>
      </c>
      <c r="C38" s="1306">
        <v>2</v>
      </c>
      <c r="D38" s="1306">
        <v>954348</v>
      </c>
      <c r="E38" s="1306">
        <v>0</v>
      </c>
      <c r="F38" s="1306">
        <v>0</v>
      </c>
    </row>
    <row r="39" spans="1:6">
      <c r="A39" s="1305" t="s">
        <v>29</v>
      </c>
      <c r="B39" s="1305" t="s">
        <v>30</v>
      </c>
      <c r="C39" s="1306">
        <v>4307</v>
      </c>
      <c r="D39" s="1306">
        <v>65818646</v>
      </c>
      <c r="E39" s="1306">
        <v>6619</v>
      </c>
      <c r="F39" s="1306">
        <v>25572793.739999998</v>
      </c>
    </row>
    <row r="40" spans="1:6">
      <c r="A40" s="1305" t="s">
        <v>29</v>
      </c>
      <c r="B40" s="1305" t="s">
        <v>28</v>
      </c>
      <c r="C40" s="1306">
        <v>0</v>
      </c>
      <c r="D40" s="1306">
        <v>0</v>
      </c>
      <c r="E40" s="1306">
        <v>0</v>
      </c>
      <c r="F40" s="1306">
        <v>0</v>
      </c>
    </row>
    <row r="41" spans="1:6">
      <c r="A41" s="1305" t="s">
        <v>31</v>
      </c>
      <c r="B41" s="1305" t="s">
        <v>32</v>
      </c>
      <c r="C41" s="1306">
        <v>114</v>
      </c>
      <c r="D41" s="1306">
        <v>9185094</v>
      </c>
      <c r="E41" s="1306">
        <v>200</v>
      </c>
      <c r="F41" s="1306">
        <v>10327142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17</v>
      </c>
      <c r="D44" s="1306">
        <v>1695286</v>
      </c>
      <c r="E44" s="1306">
        <v>52</v>
      </c>
      <c r="F44" s="1306">
        <v>2693711</v>
      </c>
    </row>
    <row r="45" spans="1:6">
      <c r="A45" s="1305" t="s">
        <v>31</v>
      </c>
      <c r="B45" s="1305" t="s">
        <v>36</v>
      </c>
      <c r="C45" s="1306">
        <v>0</v>
      </c>
      <c r="D45" s="1306">
        <v>0</v>
      </c>
      <c r="E45" s="1306">
        <v>3</v>
      </c>
      <c r="F45" s="1306">
        <v>288264</v>
      </c>
    </row>
    <row r="46" spans="1:6">
      <c r="A46" s="1305" t="s">
        <v>31</v>
      </c>
      <c r="B46" s="1305" t="s">
        <v>37</v>
      </c>
      <c r="C46" s="1306">
        <v>0</v>
      </c>
      <c r="D46" s="1306">
        <v>0</v>
      </c>
      <c r="E46" s="1306">
        <v>0</v>
      </c>
      <c r="F46" s="1306">
        <v>0</v>
      </c>
    </row>
    <row r="47" spans="1:6">
      <c r="A47" s="1305" t="s">
        <v>31</v>
      </c>
      <c r="B47" s="1305" t="s">
        <v>38</v>
      </c>
      <c r="C47" s="1306">
        <v>4</v>
      </c>
      <c r="D47" s="1306">
        <v>114725</v>
      </c>
      <c r="E47" s="1306">
        <v>5</v>
      </c>
      <c r="F47" s="1306">
        <v>303865</v>
      </c>
    </row>
    <row r="48" spans="1:6">
      <c r="A48" s="1305" t="s">
        <v>31</v>
      </c>
      <c r="B48" s="1305" t="s">
        <v>28</v>
      </c>
      <c r="C48" s="1306">
        <v>3</v>
      </c>
      <c r="D48" s="1306">
        <v>277299</v>
      </c>
      <c r="E48" s="1306">
        <v>3</v>
      </c>
      <c r="F48" s="1306">
        <v>34176</v>
      </c>
    </row>
    <row r="49" spans="1:6">
      <c r="A49" s="1305" t="s">
        <v>31</v>
      </c>
      <c r="B49" s="1305" t="s">
        <v>39</v>
      </c>
      <c r="C49" s="1306">
        <v>0</v>
      </c>
      <c r="D49" s="1306">
        <v>0</v>
      </c>
      <c r="E49" s="1306">
        <v>0</v>
      </c>
      <c r="F49" s="1306">
        <v>0</v>
      </c>
    </row>
    <row r="50" spans="1:6">
      <c r="A50" s="1305" t="s">
        <v>31</v>
      </c>
      <c r="B50" s="1305" t="s">
        <v>40</v>
      </c>
      <c r="C50" s="1306">
        <v>19</v>
      </c>
      <c r="D50" s="1306">
        <v>1074434</v>
      </c>
      <c r="E50" s="1306">
        <v>37</v>
      </c>
      <c r="F50" s="1306">
        <v>5260300</v>
      </c>
    </row>
    <row r="51" spans="1:6">
      <c r="A51" s="1305" t="s">
        <v>41</v>
      </c>
      <c r="B51" s="1305" t="s">
        <v>42</v>
      </c>
      <c r="C51" s="1306">
        <v>38</v>
      </c>
      <c r="D51" s="1306">
        <v>1002777</v>
      </c>
      <c r="E51" s="1306">
        <v>376</v>
      </c>
      <c r="F51" s="1306">
        <v>9485569.1253405996</v>
      </c>
    </row>
    <row r="52" spans="1:6">
      <c r="A52" s="1305" t="s">
        <v>41</v>
      </c>
      <c r="B52" s="1305" t="s">
        <v>28</v>
      </c>
      <c r="C52" s="1306">
        <v>0</v>
      </c>
      <c r="D52" s="1306">
        <v>0</v>
      </c>
      <c r="E52" s="1306">
        <v>1</v>
      </c>
      <c r="F52" s="1306">
        <v>37876</v>
      </c>
    </row>
    <row r="53" spans="1:6">
      <c r="A53" s="1305" t="s">
        <v>43</v>
      </c>
      <c r="B53" s="1305" t="s">
        <v>44</v>
      </c>
      <c r="C53" s="1306">
        <v>0</v>
      </c>
      <c r="D53" s="1306">
        <v>0</v>
      </c>
      <c r="E53" s="1306">
        <v>0</v>
      </c>
      <c r="F53" s="1306">
        <v>0</v>
      </c>
    </row>
    <row r="54" spans="1:6">
      <c r="A54" s="1305" t="s">
        <v>45</v>
      </c>
      <c r="B54" s="1305" t="s">
        <v>46</v>
      </c>
      <c r="C54" s="1306">
        <v>0</v>
      </c>
      <c r="D54" s="1306">
        <v>0</v>
      </c>
      <c r="E54" s="1306">
        <v>97</v>
      </c>
      <c r="F54" s="1306">
        <v>1334204</v>
      </c>
    </row>
    <row r="55" spans="1:6">
      <c r="A55" s="1305" t="s">
        <v>45</v>
      </c>
      <c r="B55" s="1305" t="s">
        <v>28</v>
      </c>
      <c r="C55" s="1306">
        <v>0</v>
      </c>
      <c r="D55" s="1306">
        <v>0</v>
      </c>
      <c r="E55" s="1306">
        <v>0</v>
      </c>
      <c r="F55" s="1306">
        <v>0</v>
      </c>
    </row>
    <row r="56" spans="1:6">
      <c r="A56" s="1305" t="s">
        <v>47</v>
      </c>
      <c r="B56" s="1305" t="s">
        <v>28</v>
      </c>
      <c r="C56" s="1306">
        <v>60</v>
      </c>
      <c r="D56" s="1306">
        <v>978190</v>
      </c>
      <c r="E56" s="1306">
        <v>152</v>
      </c>
      <c r="F56" s="1306">
        <v>576414</v>
      </c>
    </row>
    <row r="57" spans="1:6">
      <c r="A57" s="1305" t="s">
        <v>48</v>
      </c>
      <c r="B57" s="1305" t="s">
        <v>49</v>
      </c>
      <c r="C57" s="1306">
        <v>38</v>
      </c>
      <c r="D57" s="1306">
        <v>1671945</v>
      </c>
      <c r="E57" s="1306">
        <v>115</v>
      </c>
      <c r="F57" s="1306">
        <v>9775238</v>
      </c>
    </row>
    <row r="58" spans="1:6">
      <c r="A58" s="1305" t="s">
        <v>48</v>
      </c>
      <c r="B58" s="1305" t="s">
        <v>50</v>
      </c>
      <c r="C58" s="1306">
        <v>31</v>
      </c>
      <c r="D58" s="1306">
        <v>1790121</v>
      </c>
      <c r="E58" s="1306">
        <v>42</v>
      </c>
      <c r="F58" s="1306">
        <v>1331794</v>
      </c>
    </row>
    <row r="59" spans="1:6">
      <c r="A59" s="1305" t="s">
        <v>48</v>
      </c>
      <c r="B59" s="1305" t="s">
        <v>51</v>
      </c>
      <c r="C59" s="1306">
        <v>152</v>
      </c>
      <c r="D59" s="1306">
        <v>5517623</v>
      </c>
      <c r="E59" s="1306">
        <v>325</v>
      </c>
      <c r="F59" s="1306">
        <v>9870671.8352117911</v>
      </c>
    </row>
    <row r="60" spans="1:6">
      <c r="A60" s="1305" t="s">
        <v>48</v>
      </c>
      <c r="B60" s="1305" t="s">
        <v>52</v>
      </c>
      <c r="C60" s="1306">
        <v>64</v>
      </c>
      <c r="D60" s="1306">
        <v>3464684</v>
      </c>
      <c r="E60" s="1306">
        <v>98</v>
      </c>
      <c r="F60" s="1306">
        <v>2585458</v>
      </c>
    </row>
    <row r="61" spans="1:6">
      <c r="A61" s="1305" t="s">
        <v>48</v>
      </c>
      <c r="B61" s="1305" t="s">
        <v>53</v>
      </c>
      <c r="C61" s="1306">
        <v>125</v>
      </c>
      <c r="D61" s="1306">
        <v>4854768</v>
      </c>
      <c r="E61" s="1306">
        <v>397</v>
      </c>
      <c r="F61" s="1306">
        <v>4659282.1367490636</v>
      </c>
    </row>
    <row r="62" spans="1:6">
      <c r="A62" s="1305" t="s">
        <v>48</v>
      </c>
      <c r="B62" s="1305" t="s">
        <v>54</v>
      </c>
      <c r="C62" s="1306">
        <v>20</v>
      </c>
      <c r="D62" s="1306">
        <v>3437034</v>
      </c>
      <c r="E62" s="1306">
        <v>25</v>
      </c>
      <c r="F62" s="1306">
        <v>958124</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6</v>
      </c>
      <c r="D68" s="1309">
        <v>156911</v>
      </c>
      <c r="E68" s="1309">
        <v>20</v>
      </c>
      <c r="F68" s="1309">
        <v>401206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126847917</v>
      </c>
      <c r="E73" s="450"/>
      <c r="F73" s="330"/>
    </row>
    <row r="74" spans="1:6">
      <c r="A74" s="1305" t="s">
        <v>63</v>
      </c>
      <c r="B74" s="1305" t="s">
        <v>710</v>
      </c>
      <c r="C74" s="1319" t="s">
        <v>712</v>
      </c>
      <c r="D74" s="1320">
        <v>12380122.993560035</v>
      </c>
      <c r="E74" s="450"/>
      <c r="F74" s="330"/>
    </row>
    <row r="75" spans="1:6">
      <c r="A75" s="1305" t="s">
        <v>64</v>
      </c>
      <c r="B75" s="1305" t="s">
        <v>709</v>
      </c>
      <c r="C75" s="1319" t="s">
        <v>713</v>
      </c>
      <c r="D75" s="1320">
        <v>22109080</v>
      </c>
      <c r="E75" s="450"/>
      <c r="F75" s="330"/>
    </row>
    <row r="76" spans="1:6">
      <c r="A76" s="1305" t="s">
        <v>64</v>
      </c>
      <c r="B76" s="1305" t="s">
        <v>710</v>
      </c>
      <c r="C76" s="1319" t="s">
        <v>714</v>
      </c>
      <c r="D76" s="1320">
        <v>658264.99356003397</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529474.01287993207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2803.1050047492131</v>
      </c>
      <c r="C90" s="330"/>
      <c r="D90" s="330"/>
      <c r="E90" s="330"/>
      <c r="F90" s="330"/>
    </row>
    <row r="91" spans="1:6">
      <c r="A91" s="1305" t="s">
        <v>67</v>
      </c>
      <c r="B91" s="1306">
        <v>3694.3528270495631</v>
      </c>
      <c r="C91" s="330"/>
      <c r="D91" s="330"/>
      <c r="E91" s="330"/>
      <c r="F91" s="330"/>
    </row>
    <row r="92" spans="1:6">
      <c r="A92" s="1300" t="s">
        <v>68</v>
      </c>
      <c r="B92" s="1301">
        <v>4439.3440737785513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2561</v>
      </c>
      <c r="C97" s="330"/>
      <c r="D97" s="330"/>
      <c r="E97" s="330"/>
      <c r="F97" s="330"/>
    </row>
    <row r="98" spans="1:6">
      <c r="A98" s="1305" t="s">
        <v>71</v>
      </c>
      <c r="B98" s="1306">
        <v>4</v>
      </c>
      <c r="C98" s="330"/>
      <c r="D98" s="330"/>
      <c r="E98" s="330"/>
      <c r="F98" s="330"/>
    </row>
    <row r="99" spans="1:6">
      <c r="A99" s="1305" t="s">
        <v>72</v>
      </c>
      <c r="B99" s="1306">
        <v>213</v>
      </c>
      <c r="C99" s="330"/>
      <c r="D99" s="330"/>
      <c r="E99" s="330"/>
      <c r="F99" s="330"/>
    </row>
    <row r="100" spans="1:6">
      <c r="A100" s="1305" t="s">
        <v>73</v>
      </c>
      <c r="B100" s="1306">
        <v>556</v>
      </c>
      <c r="C100" s="330"/>
      <c r="D100" s="330"/>
      <c r="E100" s="330"/>
      <c r="F100" s="330"/>
    </row>
    <row r="101" spans="1:6">
      <c r="A101" s="1305" t="s">
        <v>74</v>
      </c>
      <c r="B101" s="1306">
        <v>182</v>
      </c>
      <c r="C101" s="330"/>
      <c r="D101" s="330"/>
      <c r="E101" s="330"/>
      <c r="F101" s="330"/>
    </row>
    <row r="102" spans="1:6">
      <c r="A102" s="1305" t="s">
        <v>75</v>
      </c>
      <c r="B102" s="1306">
        <v>108</v>
      </c>
      <c r="C102" s="330"/>
      <c r="D102" s="330"/>
      <c r="E102" s="330"/>
      <c r="F102" s="330"/>
    </row>
    <row r="103" spans="1:6">
      <c r="A103" s="1305" t="s">
        <v>76</v>
      </c>
      <c r="B103" s="1306">
        <v>282</v>
      </c>
      <c r="C103" s="330"/>
      <c r="D103" s="330"/>
      <c r="E103" s="330"/>
      <c r="F103" s="330"/>
    </row>
    <row r="104" spans="1:6">
      <c r="A104" s="1305" t="s">
        <v>77</v>
      </c>
      <c r="B104" s="1306">
        <v>2006</v>
      </c>
      <c r="C104" s="330"/>
      <c r="D104" s="330"/>
      <c r="E104" s="330"/>
      <c r="F104" s="330"/>
    </row>
    <row r="105" spans="1:6">
      <c r="A105" s="1300" t="s">
        <v>78</v>
      </c>
      <c r="B105" s="1309">
        <v>12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15</v>
      </c>
      <c r="C123" s="1306">
        <v>9</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147</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88806.088934148269</v>
      </c>
      <c r="C3" s="43" t="s">
        <v>169</v>
      </c>
      <c r="D3" s="43"/>
      <c r="E3" s="154"/>
      <c r="F3" s="43"/>
      <c r="G3" s="43"/>
      <c r="H3" s="43"/>
      <c r="I3" s="43"/>
      <c r="J3" s="43"/>
      <c r="K3" s="96"/>
    </row>
    <row r="4" spans="1:11">
      <c r="A4" s="359" t="s">
        <v>170</v>
      </c>
      <c r="B4" s="49">
        <f>IF(ISERROR('SEAP template'!B78+'SEAP template'!C78),0,'SEAP template'!B78+'SEAP template'!C78)</f>
        <v>12825.451905577327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0.18908298952074806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1334.204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1334.204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0.18908298952074806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252.27528095054015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25572.793739999997</v>
      </c>
      <c r="C5" s="17">
        <f>IF(ISERROR('Eigen informatie GS &amp; warmtenet'!B57),0,'Eigen informatie GS &amp; warmtenet'!B57)</f>
        <v>0</v>
      </c>
      <c r="D5" s="30">
        <f>(SUM(HH_hh_gas_kWh,HH_rest_gas_kWh)/1000)*0.902</f>
        <v>59368.418691999992</v>
      </c>
      <c r="E5" s="17">
        <f>B46*B57</f>
        <v>37689.615996123393</v>
      </c>
      <c r="F5" s="17">
        <f>B51*B62</f>
        <v>9729.7314229239055</v>
      </c>
      <c r="G5" s="18"/>
      <c r="H5" s="17"/>
      <c r="I5" s="17"/>
      <c r="J5" s="17">
        <f>B50*B61+C50*C61</f>
        <v>2928.1702019085938</v>
      </c>
      <c r="K5" s="17"/>
      <c r="L5" s="17"/>
      <c r="M5" s="17"/>
      <c r="N5" s="17">
        <f>B48*B59+C48*C59</f>
        <v>23223.248164072804</v>
      </c>
      <c r="O5" s="17">
        <f>B69*B70*B71</f>
        <v>245.44333333333333</v>
      </c>
      <c r="P5" s="17">
        <f>B77*B78*B79/1000-B77*B78*B79/1000/B80</f>
        <v>514.79999999999995</v>
      </c>
    </row>
    <row r="6" spans="1:16">
      <c r="A6" s="16" t="s">
        <v>630</v>
      </c>
      <c r="B6" s="763">
        <f>kWh_PV_kleiner_dan_10kW</f>
        <v>3694.3528270495631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29267.14656704956</v>
      </c>
      <c r="C8" s="21">
        <f>C5</f>
        <v>0</v>
      </c>
      <c r="D8" s="21">
        <f>D5</f>
        <v>59368.418691999992</v>
      </c>
      <c r="E8" s="21">
        <f>E5</f>
        <v>37689.615996123393</v>
      </c>
      <c r="F8" s="21">
        <f>F5</f>
        <v>9729.7314229239055</v>
      </c>
      <c r="G8" s="21"/>
      <c r="H8" s="21"/>
      <c r="I8" s="21"/>
      <c r="J8" s="21">
        <f>J5</f>
        <v>2928.1702019085938</v>
      </c>
      <c r="K8" s="21"/>
      <c r="L8" s="21">
        <f>L5</f>
        <v>0</v>
      </c>
      <c r="M8" s="21">
        <f>M5</f>
        <v>0</v>
      </c>
      <c r="N8" s="21">
        <f>N5</f>
        <v>23223.248164072804</v>
      </c>
      <c r="O8" s="21">
        <f>O5</f>
        <v>245.44333333333333</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0.18908298952074806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5533.9195676396293</v>
      </c>
      <c r="C12" s="23">
        <f ca="1">C10*C8</f>
        <v>0</v>
      </c>
      <c r="D12" s="23">
        <f>D8*D10</f>
        <v>11992.420575783999</v>
      </c>
      <c r="E12" s="23">
        <f>E10*E8</f>
        <v>8555.5428311200103</v>
      </c>
      <c r="F12" s="23">
        <f>F10*F8</f>
        <v>2597.8382899206831</v>
      </c>
      <c r="G12" s="23"/>
      <c r="H12" s="23"/>
      <c r="I12" s="23"/>
      <c r="J12" s="23">
        <f>J10*J8</f>
        <v>1036.5722514756421</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2561</v>
      </c>
      <c r="C18" s="166" t="s">
        <v>110</v>
      </c>
      <c r="D18" s="228"/>
      <c r="E18" s="15"/>
    </row>
    <row r="19" spans="1:7">
      <c r="A19" s="171" t="s">
        <v>71</v>
      </c>
      <c r="B19" s="37">
        <f>aantalw2001_ander</f>
        <v>4</v>
      </c>
      <c r="C19" s="166" t="s">
        <v>110</v>
      </c>
      <c r="D19" s="229"/>
      <c r="E19" s="15"/>
    </row>
    <row r="20" spans="1:7">
      <c r="A20" s="171" t="s">
        <v>72</v>
      </c>
      <c r="B20" s="37">
        <f>aantalw2001_propaan</f>
        <v>213</v>
      </c>
      <c r="C20" s="167">
        <f>IF(ISERROR(B20/SUM($B$20,$B$21,$B$22)*100),0,B20/SUM($B$20,$B$21,$B$22)*100)</f>
        <v>22.397476340694006</v>
      </c>
      <c r="D20" s="229"/>
      <c r="E20" s="15"/>
    </row>
    <row r="21" spans="1:7">
      <c r="A21" s="171" t="s">
        <v>73</v>
      </c>
      <c r="B21" s="37">
        <f>aantalw2001_elektriciteit</f>
        <v>556</v>
      </c>
      <c r="C21" s="167">
        <f>IF(ISERROR(B21/SUM($B$20,$B$21,$B$22)*100),0,B21/SUM($B$20,$B$21,$B$22)*100)</f>
        <v>58.464773922187177</v>
      </c>
      <c r="D21" s="229"/>
      <c r="E21" s="15"/>
    </row>
    <row r="22" spans="1:7">
      <c r="A22" s="171" t="s">
        <v>74</v>
      </c>
      <c r="B22" s="37">
        <f>aantalw2001_hout</f>
        <v>182</v>
      </c>
      <c r="C22" s="167">
        <f>IF(ISERROR(B22/SUM($B$20,$B$21,$B$22)*100),0,B22/SUM($B$20,$B$21,$B$22)*100)</f>
        <v>19.137749737118824</v>
      </c>
      <c r="D22" s="229"/>
      <c r="E22" s="15"/>
    </row>
    <row r="23" spans="1:7">
      <c r="A23" s="171" t="s">
        <v>75</v>
      </c>
      <c r="B23" s="37">
        <f>aantalw2001_niet_gespec</f>
        <v>108</v>
      </c>
      <c r="C23" s="166" t="s">
        <v>110</v>
      </c>
      <c r="D23" s="228"/>
      <c r="E23" s="15"/>
    </row>
    <row r="24" spans="1:7">
      <c r="A24" s="171" t="s">
        <v>76</v>
      </c>
      <c r="B24" s="37">
        <f>aantalw2001_steenkool</f>
        <v>282</v>
      </c>
      <c r="C24" s="166" t="s">
        <v>110</v>
      </c>
      <c r="D24" s="229"/>
      <c r="E24" s="15"/>
    </row>
    <row r="25" spans="1:7">
      <c r="A25" s="171" t="s">
        <v>77</v>
      </c>
      <c r="B25" s="37">
        <f>aantalw2001_stookolie</f>
        <v>2006</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736</v>
      </c>
      <c r="B28" s="37">
        <f>aantalHuishoudens</f>
        <v>6984</v>
      </c>
      <c r="C28" s="36"/>
      <c r="D28" s="228"/>
    </row>
    <row r="29" spans="1:7" s="15" customFormat="1">
      <c r="A29" s="230" t="s">
        <v>737</v>
      </c>
      <c r="B29" s="37">
        <f>SUM(HH_hh_gas_aantal,HH_rest_gas_aantal)</f>
        <v>4307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4307</v>
      </c>
      <c r="C32" s="167">
        <f>IF(ISERROR(B32/SUM($B$32,$B$34,$B$35,$B$36,$B$38,$B$39)*100),0,B32/SUM($B$32,$B$34,$B$35,$B$36,$B$38,$B$39)*100)</f>
        <v>61.908868765272388</v>
      </c>
      <c r="D32" s="233"/>
      <c r="G32" s="15"/>
    </row>
    <row r="33" spans="1:7">
      <c r="A33" s="171" t="s">
        <v>71</v>
      </c>
      <c r="B33" s="34" t="s">
        <v>110</v>
      </c>
      <c r="C33" s="167"/>
      <c r="D33" s="233"/>
      <c r="G33" s="15"/>
    </row>
    <row r="34" spans="1:7">
      <c r="A34" s="171" t="s">
        <v>72</v>
      </c>
      <c r="B34" s="33">
        <f>IF((($B$28-$B$32-$B$39-$B$77-$B$38)*C20/100)&lt;0,0,($B$28-$B$32-$B$39-$B$77-$B$38)*C20/100)</f>
        <v>472.13880126182966</v>
      </c>
      <c r="C34" s="167">
        <f>IF(ISERROR(B34/SUM($B$32,$B$34,$B$35,$B$36,$B$38,$B$39)*100),0,B34/SUM($B$32,$B$34,$B$35,$B$36,$B$38,$B$39)*100)</f>
        <v>6.7865286942910688</v>
      </c>
      <c r="D34" s="233"/>
      <c r="G34" s="15"/>
    </row>
    <row r="35" spans="1:7">
      <c r="A35" s="171" t="s">
        <v>73</v>
      </c>
      <c r="B35" s="33">
        <f>IF((($B$28-$B$32-$B$39-$B$77-$B$38)*C21/100)&lt;0,0,($B$28-$B$32-$B$39-$B$77-$B$38)*C21/100)</f>
        <v>1232.4374342797057</v>
      </c>
      <c r="C35" s="167">
        <f>IF(ISERROR(B35/SUM($B$32,$B$34,$B$35,$B$36,$B$38,$B$39)*100),0,B35/SUM($B$32,$B$34,$B$35,$B$36,$B$38,$B$39)*100)</f>
        <v>17.715070206694058</v>
      </c>
      <c r="D35" s="233"/>
      <c r="G35" s="15"/>
    </row>
    <row r="36" spans="1:7">
      <c r="A36" s="171" t="s">
        <v>74</v>
      </c>
      <c r="B36" s="33">
        <f>IF((($B$28-$B$32-$B$39-$B$77-$B$38)*C22/100)&lt;0,0,($B$28-$B$32-$B$39-$B$77-$B$38)*C22/100)</f>
        <v>403.4237644584648</v>
      </c>
      <c r="C36" s="167">
        <f>IF(ISERROR(B36/SUM($B$32,$B$34,$B$35,$B$36,$B$38,$B$39)*100),0,B36/SUM($B$32,$B$34,$B$35,$B$36,$B$38,$B$39)*100)</f>
        <v>5.7988179453566877</v>
      </c>
      <c r="D36" s="233"/>
      <c r="G36" s="15"/>
    </row>
    <row r="37" spans="1:7">
      <c r="A37" s="171" t="s">
        <v>75</v>
      </c>
      <c r="B37" s="34" t="s">
        <v>110</v>
      </c>
      <c r="C37" s="167"/>
      <c r="D37" s="173"/>
      <c r="G37" s="15"/>
    </row>
    <row r="38" spans="1:7">
      <c r="A38" s="171" t="s">
        <v>76</v>
      </c>
      <c r="B38" s="33">
        <f>IF((B24-(B29-B18)*0.1)&lt;0,0,B24-(B29-B18)*0.1)</f>
        <v>107.39999999999998</v>
      </c>
      <c r="C38" s="167">
        <f>IF(ISERROR(B38/SUM($B$32,$B$34,$B$35,$B$36,$B$38,$B$39)*100),0,B38/SUM($B$32,$B$34,$B$35,$B$36,$B$38,$B$39)*100)</f>
        <v>1.5437688658904696</v>
      </c>
      <c r="D38" s="234"/>
      <c r="G38" s="15"/>
    </row>
    <row r="39" spans="1:7">
      <c r="A39" s="171" t="s">
        <v>77</v>
      </c>
      <c r="B39" s="33">
        <f>IF((B25-(B29-B18))&lt;0,0,B25-(B29-B18)*0.9)</f>
        <v>434.59999999999991</v>
      </c>
      <c r="C39" s="167">
        <f>IF(ISERROR(B39/SUM($B$32,$B$34,$B$35,$B$36,$B$38,$B$39)*100),0,B39/SUM($B$32,$B$34,$B$35,$B$36,$B$38,$B$39)*100)</f>
        <v>6.2469455224953272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4307</v>
      </c>
      <c r="C44" s="34" t="s">
        <v>110</v>
      </c>
      <c r="D44" s="174"/>
    </row>
    <row r="45" spans="1:7">
      <c r="A45" s="171" t="s">
        <v>71</v>
      </c>
      <c r="B45" s="33" t="str">
        <f t="shared" si="0"/>
        <v>-</v>
      </c>
      <c r="C45" s="34" t="s">
        <v>110</v>
      </c>
      <c r="D45" s="174"/>
    </row>
    <row r="46" spans="1:7">
      <c r="A46" s="171" t="s">
        <v>72</v>
      </c>
      <c r="B46" s="33">
        <f t="shared" si="0"/>
        <v>472.13880126182966</v>
      </c>
      <c r="C46" s="34" t="s">
        <v>110</v>
      </c>
      <c r="D46" s="174"/>
    </row>
    <row r="47" spans="1:7">
      <c r="A47" s="171" t="s">
        <v>73</v>
      </c>
      <c r="B47" s="33">
        <f t="shared" si="0"/>
        <v>1232.4374342797057</v>
      </c>
      <c r="C47" s="34" t="s">
        <v>110</v>
      </c>
      <c r="D47" s="174"/>
    </row>
    <row r="48" spans="1:7">
      <c r="A48" s="171" t="s">
        <v>74</v>
      </c>
      <c r="B48" s="33">
        <f t="shared" si="0"/>
        <v>403.4237644584648</v>
      </c>
      <c r="C48" s="33">
        <f>B48*10</f>
        <v>4034.237644584648</v>
      </c>
      <c r="D48" s="234"/>
    </row>
    <row r="49" spans="1:6">
      <c r="A49" s="171" t="s">
        <v>75</v>
      </c>
      <c r="B49" s="33" t="str">
        <f t="shared" si="0"/>
        <v>-</v>
      </c>
      <c r="C49" s="34" t="s">
        <v>110</v>
      </c>
      <c r="D49" s="234"/>
    </row>
    <row r="50" spans="1:6">
      <c r="A50" s="171" t="s">
        <v>76</v>
      </c>
      <c r="B50" s="33">
        <f t="shared" si="0"/>
        <v>107.39999999999998</v>
      </c>
      <c r="C50" s="33">
        <f>B50*2</f>
        <v>214.79999999999995</v>
      </c>
      <c r="D50" s="234"/>
    </row>
    <row r="51" spans="1:6">
      <c r="A51" s="171" t="s">
        <v>77</v>
      </c>
      <c r="B51" s="33">
        <f t="shared" si="0"/>
        <v>434.59999999999991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29180.567971960856</v>
      </c>
      <c r="C5" s="17">
        <f>IF(ISERROR('Eigen informatie GS &amp; warmtenet'!B58),0,'Eigen informatie GS &amp; warmtenet'!B58)</f>
        <v>0</v>
      </c>
      <c r="D5" s="30">
        <f>SUM(D6:D12)</f>
        <v>18704.029849999999</v>
      </c>
      <c r="E5" s="17">
        <f>SUM(E6:E12)</f>
        <v>263.27092774032155</v>
      </c>
      <c r="F5" s="17">
        <f>SUM(F6:F12)</f>
        <v>4956.8055252030945</v>
      </c>
      <c r="G5" s="18"/>
      <c r="H5" s="17"/>
      <c r="I5" s="17"/>
      <c r="J5" s="17">
        <f>SUM(J6:J12)</f>
        <v>0</v>
      </c>
      <c r="K5" s="17"/>
      <c r="L5" s="17"/>
      <c r="M5" s="17"/>
      <c r="N5" s="17">
        <f>SUM(N6:N12)</f>
        <v>7024.8163180948732</v>
      </c>
      <c r="O5" s="17">
        <f>B38*B39*B40</f>
        <v>3.1266666666666669</v>
      </c>
      <c r="P5" s="17">
        <f>B46*B47*B48/1000-B46*B47*B48/1000/B49</f>
        <v>19.066666666666666</v>
      </c>
      <c r="R5" s="32"/>
    </row>
    <row r="6" spans="1:18">
      <c r="A6" s="32" t="s">
        <v>53</v>
      </c>
      <c r="B6" s="37">
        <f>B26</f>
        <v>4659.2821367490633</v>
      </c>
      <c r="C6" s="33"/>
      <c r="D6" s="37">
        <f>IF(ISERROR(TER_kantoor_gas_kWh/1000),0,TER_kantoor_gas_kWh/1000)*0.902</f>
        <v>4379.000736</v>
      </c>
      <c r="E6" s="33">
        <f>$C$26*'E Balans VL '!I12/100/3.6*1000000</f>
        <v>13.498623963782851</v>
      </c>
      <c r="F6" s="33">
        <f>$C$26*('E Balans VL '!L12+'E Balans VL '!N12)/100/3.6*1000000</f>
        <v>527.32808593567552</v>
      </c>
      <c r="G6" s="34"/>
      <c r="H6" s="33"/>
      <c r="I6" s="33"/>
      <c r="J6" s="33">
        <f>$C$26*('E Balans VL '!D12+'E Balans VL '!E12)/100/3.6*1000000</f>
        <v>0</v>
      </c>
      <c r="K6" s="33"/>
      <c r="L6" s="33"/>
      <c r="M6" s="33"/>
      <c r="N6" s="33">
        <f>$C$26*'E Balans VL '!Y12/100/3.6*1000000</f>
        <v>46.63598107649554</v>
      </c>
      <c r="O6" s="33"/>
      <c r="P6" s="33"/>
      <c r="R6" s="32"/>
    </row>
    <row r="7" spans="1:18">
      <c r="A7" s="32" t="s">
        <v>52</v>
      </c>
      <c r="B7" s="37">
        <f t="shared" ref="B7:B12" si="0">B27</f>
        <v>2585.4580000000001</v>
      </c>
      <c r="C7" s="33"/>
      <c r="D7" s="37">
        <f>IF(ISERROR(TER_horeca_gas_kWh/1000),0,TER_horeca_gas_kWh/1000)*0.902</f>
        <v>3125.1449680000001</v>
      </c>
      <c r="E7" s="33">
        <f>$C$27*'E Balans VL '!I9/100/3.6*1000000</f>
        <v>108.53030321311458</v>
      </c>
      <c r="F7" s="33">
        <f>$C$27*('E Balans VL '!L9+'E Balans VL '!N9)/100/3.6*1000000</f>
        <v>555.53867110985198</v>
      </c>
      <c r="G7" s="34"/>
      <c r="H7" s="33"/>
      <c r="I7" s="33"/>
      <c r="J7" s="33">
        <f>$C$27*('E Balans VL '!D9+'E Balans VL '!E9)/100/3.6*1000000</f>
        <v>0</v>
      </c>
      <c r="K7" s="33"/>
      <c r="L7" s="33"/>
      <c r="M7" s="33"/>
      <c r="N7" s="33">
        <f>$C$27*'E Balans VL '!Y9/100/3.6*1000000</f>
        <v>0.66624991594953653</v>
      </c>
      <c r="O7" s="33"/>
      <c r="P7" s="33"/>
      <c r="R7" s="32"/>
    </row>
    <row r="8" spans="1:18">
      <c r="A8" s="6" t="s">
        <v>51</v>
      </c>
      <c r="B8" s="37">
        <f t="shared" si="0"/>
        <v>9870.6718352117914</v>
      </c>
      <c r="C8" s="33"/>
      <c r="D8" s="37">
        <f>IF(ISERROR(TER_handel_gas_kWh/1000),0,TER_handel_gas_kWh/1000)*0.902</f>
        <v>4976.8959459999996</v>
      </c>
      <c r="E8" s="33">
        <f>$C$28*'E Balans VL '!I13/100/3.6*1000000</f>
        <v>106.01923063681502</v>
      </c>
      <c r="F8" s="33">
        <f>$C$28*('E Balans VL '!L13+'E Balans VL '!N13)/100/3.6*1000000</f>
        <v>1277.8399793958629</v>
      </c>
      <c r="G8" s="34"/>
      <c r="H8" s="33"/>
      <c r="I8" s="33"/>
      <c r="J8" s="33">
        <f>$C$28*('E Balans VL '!D13+'E Balans VL '!E13)/100/3.6*1000000</f>
        <v>0</v>
      </c>
      <c r="K8" s="33"/>
      <c r="L8" s="33"/>
      <c r="M8" s="33"/>
      <c r="N8" s="33">
        <f>$C$28*'E Balans VL '!Y13/100/3.6*1000000</f>
        <v>80.071428889354053</v>
      </c>
      <c r="O8" s="33"/>
      <c r="P8" s="33"/>
      <c r="R8" s="32"/>
    </row>
    <row r="9" spans="1:18">
      <c r="A9" s="32" t="s">
        <v>50</v>
      </c>
      <c r="B9" s="37">
        <f t="shared" si="0"/>
        <v>1331.7940000000001</v>
      </c>
      <c r="C9" s="33"/>
      <c r="D9" s="37">
        <f>IF(ISERROR(TER_gezond_gas_kWh/1000),0,TER_gezond_gas_kWh/1000)*0.902</f>
        <v>1614.6891420000002</v>
      </c>
      <c r="E9" s="33">
        <f>$C$29*'E Balans VL '!I10/100/3.6*1000000</f>
        <v>1.0601941621282114</v>
      </c>
      <c r="F9" s="33">
        <f>$C$29*('E Balans VL '!L10+'E Balans VL '!N10)/100/3.6*1000000</f>
        <v>161.89880685680913</v>
      </c>
      <c r="G9" s="34"/>
      <c r="H9" s="33"/>
      <c r="I9" s="33"/>
      <c r="J9" s="33">
        <f>$C$29*('E Balans VL '!D10+'E Balans VL '!E10)/100/3.6*1000000</f>
        <v>0</v>
      </c>
      <c r="K9" s="33"/>
      <c r="L9" s="33"/>
      <c r="M9" s="33"/>
      <c r="N9" s="33">
        <f>$C$29*'E Balans VL '!Y10/100/3.6*1000000</f>
        <v>10.757879096362311</v>
      </c>
      <c r="O9" s="33"/>
      <c r="P9" s="33"/>
      <c r="R9" s="32"/>
    </row>
    <row r="10" spans="1:18">
      <c r="A10" s="32" t="s">
        <v>49</v>
      </c>
      <c r="B10" s="37">
        <f t="shared" si="0"/>
        <v>9775.2379999999994</v>
      </c>
      <c r="C10" s="33"/>
      <c r="D10" s="37">
        <f>IF(ISERROR(TER_ander_gas_kWh/1000),0,TER_ander_gas_kWh/1000)*0.902</f>
        <v>1508.09439</v>
      </c>
      <c r="E10" s="33">
        <f>$C$30*'E Balans VL '!I14/100/3.6*1000000</f>
        <v>33.500254151177813</v>
      </c>
      <c r="F10" s="33">
        <f>$C$30*('E Balans VL '!L14+'E Balans VL '!N14)/100/3.6*1000000</f>
        <v>2183.3909503186751</v>
      </c>
      <c r="G10" s="34"/>
      <c r="H10" s="33"/>
      <c r="I10" s="33"/>
      <c r="J10" s="33">
        <f>$C$30*('E Balans VL '!D14+'E Balans VL '!E14)/100/3.6*1000000</f>
        <v>0</v>
      </c>
      <c r="K10" s="33"/>
      <c r="L10" s="33"/>
      <c r="M10" s="33"/>
      <c r="N10" s="33">
        <f>$C$30*'E Balans VL '!Y14/100/3.6*1000000</f>
        <v>6885.7310482813482</v>
      </c>
      <c r="O10" s="33"/>
      <c r="P10" s="33"/>
      <c r="R10" s="32"/>
    </row>
    <row r="11" spans="1:18">
      <c r="A11" s="32" t="s">
        <v>54</v>
      </c>
      <c r="B11" s="37">
        <f t="shared" si="0"/>
        <v>958.12400000000002</v>
      </c>
      <c r="C11" s="33"/>
      <c r="D11" s="37">
        <f>IF(ISERROR(TER_onderwijs_gas_kWh/1000),0,TER_onderwijs_gas_kWh/1000)*0.902</f>
        <v>3100.2046680000003</v>
      </c>
      <c r="E11" s="33">
        <f>$C$31*'E Balans VL '!I11/100/3.6*1000000</f>
        <v>0.66232161330310824</v>
      </c>
      <c r="F11" s="33">
        <f>$C$31*('E Balans VL '!L11+'E Balans VL '!N11)/100/3.6*1000000</f>
        <v>250.80903158622036</v>
      </c>
      <c r="G11" s="34"/>
      <c r="H11" s="33"/>
      <c r="I11" s="33"/>
      <c r="J11" s="33">
        <f>$C$31*('E Balans VL '!D11+'E Balans VL '!E11)/100/3.6*1000000</f>
        <v>0</v>
      </c>
      <c r="K11" s="33"/>
      <c r="L11" s="33"/>
      <c r="M11" s="33"/>
      <c r="N11" s="33">
        <f>$C$31*'E Balans VL '!Y11/100/3.6*1000000</f>
        <v>0.95373083536367176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energieproductie'!N39+'lokale energieproductie'!N31</f>
        <v>0</v>
      </c>
      <c r="C13" s="247">
        <f ca="1">'lokale energieproductie'!O39+'lokale energieproductie'!O31</f>
        <v>0</v>
      </c>
      <c r="D13" s="308">
        <f ca="1">('lokale energieproductie'!P31+'lokale energieproductie'!P39)*(-1)</f>
        <v>0</v>
      </c>
      <c r="E13" s="248"/>
      <c r="F13" s="308">
        <f ca="1">('lokale energieproductie'!S31+'lokale energieproductie'!S39)*(-1)</f>
        <v>0</v>
      </c>
      <c r="G13" s="249"/>
      <c r="H13" s="248"/>
      <c r="I13" s="248"/>
      <c r="J13" s="248"/>
      <c r="K13" s="248"/>
      <c r="L13" s="308">
        <f ca="1">('lokale energieproductie'!U31+'lokale energieproductie'!T31+'lokale energieproductie'!U39+'lokale energieproductie'!T39)*(-1)</f>
        <v>0</v>
      </c>
      <c r="M13" s="248"/>
      <c r="N13" s="308">
        <f ca="1">('lokale energieproductie'!Q31+'lokale energieproductie'!R31+'lokale energieproductie'!V31+'lokale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29180.567971960856</v>
      </c>
      <c r="C16" s="21">
        <f t="shared" ca="1" si="1"/>
        <v>0</v>
      </c>
      <c r="D16" s="21">
        <f t="shared" ca="1" si="1"/>
        <v>18704.029849999999</v>
      </c>
      <c r="E16" s="21">
        <f t="shared" si="1"/>
        <v>263.27092774032155</v>
      </c>
      <c r="F16" s="21">
        <f t="shared" ca="1" si="1"/>
        <v>4956.8055252030945</v>
      </c>
      <c r="G16" s="21">
        <f t="shared" si="1"/>
        <v>0</v>
      </c>
      <c r="H16" s="21">
        <f t="shared" si="1"/>
        <v>0</v>
      </c>
      <c r="I16" s="21">
        <f t="shared" si="1"/>
        <v>0</v>
      </c>
      <c r="J16" s="21">
        <f t="shared" si="1"/>
        <v>0</v>
      </c>
      <c r="K16" s="21">
        <f t="shared" si="1"/>
        <v>0</v>
      </c>
      <c r="L16" s="21">
        <f t="shared" ca="1" si="1"/>
        <v>0</v>
      </c>
      <c r="M16" s="21">
        <f t="shared" si="1"/>
        <v>0</v>
      </c>
      <c r="N16" s="21">
        <f t="shared" ca="1" si="1"/>
        <v>7024.8163180948732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0.18908298952074806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5517.5490280517515</v>
      </c>
      <c r="C20" s="23">
        <f t="shared" ref="C20:P20" ca="1" si="2">C16*C18</f>
        <v>0</v>
      </c>
      <c r="D20" s="23">
        <f t="shared" ca="1" si="2"/>
        <v>3778.2140297000001</v>
      </c>
      <c r="E20" s="23">
        <f t="shared" si="2"/>
        <v>59.762500597052991</v>
      </c>
      <c r="F20" s="23">
        <f t="shared" ca="1" si="2"/>
        <v>1323.4670752292263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4659.2821367490633</v>
      </c>
      <c r="C26" s="39">
        <f>IF(ISERROR(B26*3.6/1000000/'E Balans VL '!Z12*100),0,B26*3.6/1000000/'E Balans VL '!Z12*100)</f>
        <v>0.10234651880324951</v>
      </c>
      <c r="D26" s="237" t="s">
        <v>691</v>
      </c>
      <c r="F26" s="6"/>
    </row>
    <row r="27" spans="1:18">
      <c r="A27" s="231" t="s">
        <v>52</v>
      </c>
      <c r="B27" s="33">
        <f>IF(ISERROR(TER_horeca_ele_kWh/1000),0,TER_horeca_ele_kWh/1000)</f>
        <v>2585.4580000000001</v>
      </c>
      <c r="C27" s="39">
        <f>IF(ISERROR(B27*3.6/1000000/'E Balans VL '!Z9*100),0,B27*3.6/1000000/'E Balans VL '!Z9*100)</f>
        <v>0.20776732244974094</v>
      </c>
      <c r="D27" s="237" t="s">
        <v>691</v>
      </c>
      <c r="F27" s="6"/>
    </row>
    <row r="28" spans="1:18">
      <c r="A28" s="171" t="s">
        <v>51</v>
      </c>
      <c r="B28" s="33">
        <f>IF(ISERROR(TER_handel_ele_kWh/1000),0,TER_handel_ele_kWh/1000)</f>
        <v>9870.6718352117914</v>
      </c>
      <c r="C28" s="39">
        <f>IF(ISERROR(B28*3.6/1000000/'E Balans VL '!Z13*100),0,B28*3.6/1000000/'E Balans VL '!Z13*100)</f>
        <v>0.29186887037108045</v>
      </c>
      <c r="D28" s="237" t="s">
        <v>691</v>
      </c>
      <c r="F28" s="6"/>
    </row>
    <row r="29" spans="1:18">
      <c r="A29" s="231" t="s">
        <v>50</v>
      </c>
      <c r="B29" s="33">
        <f>IF(ISERROR(TER_gezond_ele_kWh/1000),0,TER_gezond_ele_kWh/1000)</f>
        <v>1331.7940000000001</v>
      </c>
      <c r="C29" s="39">
        <f>IF(ISERROR(B29*3.6/1000000/'E Balans VL '!Z10*100),0,B29*3.6/1000000/'E Balans VL '!Z10*100)</f>
        <v>0.15005879990986759</v>
      </c>
      <c r="D29" s="237" t="s">
        <v>691</v>
      </c>
      <c r="F29" s="6"/>
    </row>
    <row r="30" spans="1:18">
      <c r="A30" s="231" t="s">
        <v>49</v>
      </c>
      <c r="B30" s="33">
        <f>IF(ISERROR(TER_ander_ele_kWh/1000),0,TER_ander_ele_kWh/1000)</f>
        <v>9775.2379999999994</v>
      </c>
      <c r="C30" s="39">
        <f>IF(ISERROR(B30*3.6/1000000/'E Balans VL '!Z14*100),0,B30*3.6/1000000/'E Balans VL '!Z14*100)</f>
        <v>0.73928453992543153</v>
      </c>
      <c r="D30" s="237" t="s">
        <v>691</v>
      </c>
      <c r="F30" s="6"/>
    </row>
    <row r="31" spans="1:18">
      <c r="A31" s="231" t="s">
        <v>54</v>
      </c>
      <c r="B31" s="33">
        <f>IF(ISERROR(TER_onderwijs_ele_kWh/1000),0,TER_onderwijs_ele_kWh/1000)</f>
        <v>958.12400000000002</v>
      </c>
      <c r="C31" s="39">
        <f>IF(ISERROR(B31*3.6/1000000/'E Balans VL '!Z11*100),0,B31*3.6/1000000/'E Balans VL '!Z11*100)</f>
        <v>0.19888430050619393</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18907.457999999999</v>
      </c>
      <c r="C5" s="17">
        <f>IF(ISERROR('Eigen informatie GS &amp; warmtenet'!B59),0,'Eigen informatie GS &amp; warmtenet'!B59)</f>
        <v>0</v>
      </c>
      <c r="D5" s="30">
        <f>SUM(D6:D15)</f>
        <v>11136.847875999998</v>
      </c>
      <c r="E5" s="17">
        <f>SUM(E6:E15)</f>
        <v>2963.8214864280121</v>
      </c>
      <c r="F5" s="17">
        <f>SUM(F6:F15)</f>
        <v>18943.30596280055</v>
      </c>
      <c r="G5" s="18"/>
      <c r="H5" s="17"/>
      <c r="I5" s="17"/>
      <c r="J5" s="17">
        <f>SUM(J6:J15)</f>
        <v>126.46700191062672</v>
      </c>
      <c r="K5" s="17"/>
      <c r="L5" s="17"/>
      <c r="M5" s="17"/>
      <c r="N5" s="17">
        <f>SUM(N6:N15)</f>
        <v>3695.3544700905977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2693.7109999999998</v>
      </c>
      <c r="C8" s="33"/>
      <c r="D8" s="37">
        <f>IF( ISERROR(IND_metaal_Gas_kWH/1000),0,IND_metaal_Gas_kWH/1000)*0.902</f>
        <v>1529.147972</v>
      </c>
      <c r="E8" s="33">
        <f>C30*'E Balans VL '!I18/100/3.6*1000000</f>
        <v>67.414158543477157</v>
      </c>
      <c r="F8" s="33">
        <f>C30*'E Balans VL '!L18/100/3.6*1000000+C30*'E Balans VL '!N18/100/3.6*1000000</f>
        <v>844.22242660760787</v>
      </c>
      <c r="G8" s="34"/>
      <c r="H8" s="33"/>
      <c r="I8" s="33"/>
      <c r="J8" s="40">
        <f>C30*'E Balans VL '!D18/100/3.6*1000000+C30*'E Balans VL '!E18/100/3.6*1000000</f>
        <v>0</v>
      </c>
      <c r="K8" s="33"/>
      <c r="L8" s="33"/>
      <c r="M8" s="33"/>
      <c r="N8" s="33">
        <f>C30*'E Balans VL '!Y18/100/3.6*1000000</f>
        <v>67.673011109646566</v>
      </c>
      <c r="O8" s="33"/>
      <c r="P8" s="33"/>
      <c r="R8" s="32"/>
    </row>
    <row r="9" spans="1:18">
      <c r="A9" s="6" t="s">
        <v>32</v>
      </c>
      <c r="B9" s="37">
        <f t="shared" si="0"/>
        <v>10327.142</v>
      </c>
      <c r="C9" s="33"/>
      <c r="D9" s="37">
        <f>IF( ISERROR(IND_andere_gas_kWh/1000),0,IND_andere_gas_kWh/1000)*0.902</f>
        <v>8284.9547879999991</v>
      </c>
      <c r="E9" s="33">
        <f>C31*'E Balans VL '!I19/100/3.6*1000000</f>
        <v>2839.5404816967402</v>
      </c>
      <c r="F9" s="33">
        <f>C31*'E Balans VL '!L19/100/3.6*1000000+C31*'E Balans VL '!N19/100/3.6*1000000</f>
        <v>8139.5849477326474</v>
      </c>
      <c r="G9" s="34"/>
      <c r="H9" s="33"/>
      <c r="I9" s="33"/>
      <c r="J9" s="40">
        <f>C31*'E Balans VL '!D19/100/3.6*1000000+C31*'E Balans VL '!E19/100/3.6*1000000</f>
        <v>0</v>
      </c>
      <c r="K9" s="33"/>
      <c r="L9" s="33"/>
      <c r="M9" s="33"/>
      <c r="N9" s="33">
        <f>C31*'E Balans VL '!Y19/100/3.6*1000000</f>
        <v>831.96106722505272</v>
      </c>
      <c r="O9" s="33"/>
      <c r="P9" s="33"/>
      <c r="R9" s="32"/>
    </row>
    <row r="10" spans="1:18">
      <c r="A10" s="6" t="s">
        <v>40</v>
      </c>
      <c r="B10" s="37">
        <f t="shared" si="0"/>
        <v>5260.3</v>
      </c>
      <c r="C10" s="33"/>
      <c r="D10" s="37">
        <f>IF( ISERROR(IND_voed_gas_kWh/1000),0,IND_voed_gas_kWh/1000)*0.902</f>
        <v>969.13946799999997</v>
      </c>
      <c r="E10" s="33">
        <f>C32*'E Balans VL '!I20/100/3.6*1000000</f>
        <v>53.62586058419442</v>
      </c>
      <c r="F10" s="33">
        <f>C32*'E Balans VL '!L20/100/3.6*1000000+C32*'E Balans VL '!N20/100/3.6*1000000</f>
        <v>9936.6737999993693</v>
      </c>
      <c r="G10" s="34"/>
      <c r="H10" s="33"/>
      <c r="I10" s="33"/>
      <c r="J10" s="40">
        <f>C32*'E Balans VL '!D20/100/3.6*1000000+C32*'E Balans VL '!E20/100/3.6*1000000</f>
        <v>125.89619077952457</v>
      </c>
      <c r="K10" s="33"/>
      <c r="L10" s="33"/>
      <c r="M10" s="33"/>
      <c r="N10" s="33">
        <f>C32*'E Balans VL '!Y20/100/3.6*1000000</f>
        <v>2772.7840122608777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288.26400000000001</v>
      </c>
      <c r="C12" s="33"/>
      <c r="D12" s="37">
        <f>IF( ISERROR(IND_min_gas_kWh/1000),0,IND_min_gas_kWh/1000)*0.902</f>
        <v>0</v>
      </c>
      <c r="E12" s="33">
        <f>C34*'E Balans VL '!I22/100/3.6*1000000</f>
        <v>0.87302125893415916</v>
      </c>
      <c r="F12" s="33">
        <f>C34*'E Balans VL '!L22/100/3.6*1000000+C34*'E Balans VL '!N22/100/3.6*1000000</f>
        <v>9.0084978309685741</v>
      </c>
      <c r="G12" s="34"/>
      <c r="H12" s="33"/>
      <c r="I12" s="33"/>
      <c r="J12" s="40">
        <f>C34*'E Balans VL '!D22/100/3.6*1000000+C34*'E Balans VL '!E22/100/3.6*1000000</f>
        <v>0.42743152068941043</v>
      </c>
      <c r="K12" s="33"/>
      <c r="L12" s="33"/>
      <c r="M12" s="33"/>
      <c r="N12" s="33">
        <f>C34*'E Balans VL '!Y22/100/3.6*1000000</f>
        <v>0</v>
      </c>
      <c r="O12" s="33"/>
      <c r="P12" s="33"/>
      <c r="R12" s="32"/>
    </row>
    <row r="13" spans="1:18">
      <c r="A13" s="6" t="s">
        <v>38</v>
      </c>
      <c r="B13" s="37">
        <f t="shared" si="0"/>
        <v>303.86500000000001</v>
      </c>
      <c r="C13" s="33"/>
      <c r="D13" s="37">
        <f>IF( ISERROR(IND_papier_gas_kWh/1000),0,IND_papier_gas_kWh/1000)*0.902</f>
        <v>103.48195</v>
      </c>
      <c r="E13" s="33">
        <f>C35*'E Balans VL '!I23/100/3.6*1000000</f>
        <v>0.6293249253936184</v>
      </c>
      <c r="F13" s="33">
        <f>C35*'E Balans VL '!L23/100/3.6*1000000+C35*'E Balans VL '!N23/100/3.6*1000000</f>
        <v>6.026294384783454</v>
      </c>
      <c r="G13" s="34"/>
      <c r="H13" s="33"/>
      <c r="I13" s="33"/>
      <c r="J13" s="40">
        <f>C35*'E Balans VL '!D23/100/3.6*1000000+C35*'E Balans VL '!E23/100/3.6*1000000</f>
        <v>0</v>
      </c>
      <c r="K13" s="33"/>
      <c r="L13" s="33"/>
      <c r="M13" s="33"/>
      <c r="N13" s="33">
        <f>C35*'E Balans VL '!Y23/100/3.6*1000000</f>
        <v>21.074573649884808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34.176000000000002</v>
      </c>
      <c r="C15" s="33"/>
      <c r="D15" s="37">
        <f>IF( ISERROR(IND_rest_gas_kWh/1000),0,IND_rest_gas_kWh/1000)*0.902</f>
        <v>250.12369799999999</v>
      </c>
      <c r="E15" s="33">
        <f>C37*'E Balans VL '!I15/100/3.6*1000000</f>
        <v>1.7386394192728822</v>
      </c>
      <c r="F15" s="33">
        <f>C37*'E Balans VL '!L15/100/3.6*1000000+C37*'E Balans VL '!N15/100/3.6*1000000</f>
        <v>7.7899962451746916</v>
      </c>
      <c r="G15" s="34"/>
      <c r="H15" s="33"/>
      <c r="I15" s="33"/>
      <c r="J15" s="40">
        <f>C37*'E Balans VL '!D15/100/3.6*1000000+C37*'E Balans VL '!E15/100/3.6*1000000</f>
        <v>0.14337961041273195</v>
      </c>
      <c r="K15" s="33"/>
      <c r="L15" s="33"/>
      <c r="M15" s="33"/>
      <c r="N15" s="33">
        <f>C37*'E Balans VL '!Y15/100/3.6*1000000</f>
        <v>1.8618058451354984</v>
      </c>
      <c r="O15" s="33"/>
      <c r="P15" s="33"/>
      <c r="R15" s="32"/>
    </row>
    <row r="16" spans="1:18">
      <c r="A16" s="16" t="s">
        <v>493</v>
      </c>
      <c r="B16" s="247">
        <f>'lokale energieproductie'!N38+'lokale energieproductie'!N30</f>
        <v>0</v>
      </c>
      <c r="C16" s="247">
        <f>'lokale energieproductie'!O38+'lokale energieproductie'!O30</f>
        <v>0</v>
      </c>
      <c r="D16" s="308">
        <f>('lokale energieproductie'!P30+'lokale energieproductie'!P38)*(-1)</f>
        <v>0</v>
      </c>
      <c r="E16" s="248"/>
      <c r="F16" s="308">
        <f>('lokale energieproductie'!S30+'lokale energieproductie'!S38)*(-1)</f>
        <v>0</v>
      </c>
      <c r="G16" s="249"/>
      <c r="H16" s="248"/>
      <c r="I16" s="248"/>
      <c r="J16" s="248"/>
      <c r="K16" s="248"/>
      <c r="L16" s="308">
        <f>('lokale energieproductie'!T30+'lokale energieproductie'!U30+'lokale energieproductie'!T38+'lokale energieproductie'!U38)*(-1)</f>
        <v>0</v>
      </c>
      <c r="M16" s="248"/>
      <c r="N16" s="308">
        <f>('lokale energieproductie'!Q30+'lokale energieproductie'!R30+'lokale energieproductie'!V30+'lokale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18907.457999999999</v>
      </c>
      <c r="C18" s="21">
        <f>C5+C16</f>
        <v>0</v>
      </c>
      <c r="D18" s="21">
        <f>MAX((D5+D16),0)</f>
        <v>11136.847875999998</v>
      </c>
      <c r="E18" s="21">
        <f>MAX((E5+E16),0)</f>
        <v>2963.8214864280121</v>
      </c>
      <c r="F18" s="21">
        <f>MAX((F5+F16),0)</f>
        <v>18943.30596280055</v>
      </c>
      <c r="G18" s="21"/>
      <c r="H18" s="21"/>
      <c r="I18" s="21"/>
      <c r="J18" s="21">
        <f>MAX((J5+J16),0)</f>
        <v>126.46700191062672</v>
      </c>
      <c r="K18" s="21"/>
      <c r="L18" s="21">
        <f>MAX((L5+L16),0)</f>
        <v>0</v>
      </c>
      <c r="M18" s="21"/>
      <c r="N18" s="21">
        <f>MAX((N5+N16),0)</f>
        <v>3695.3544700905977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0.18908298952074806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3575.0786828779837</v>
      </c>
      <c r="C22" s="23">
        <f ca="1">C18*C20</f>
        <v>0</v>
      </c>
      <c r="D22" s="23">
        <f>D18*D20</f>
        <v>2249.6432709519995</v>
      </c>
      <c r="E22" s="23">
        <f>E18*E20</f>
        <v>672.78747741915879</v>
      </c>
      <c r="F22" s="23">
        <f>F18*F20</f>
        <v>5057.862692067747</v>
      </c>
      <c r="G22" s="23"/>
      <c r="H22" s="23"/>
      <c r="I22" s="23"/>
      <c r="J22" s="23">
        <f>J18*J20</f>
        <v>44.769318676361856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2693.7109999999998</v>
      </c>
      <c r="C30" s="39">
        <f>IF(ISERROR(B30*3.6/1000000/'E Balans VL '!Z18*100),0,B30*3.6/1000000/'E Balans VL '!Z18*100)</f>
        <v>0.37702977108922048</v>
      </c>
      <c r="D30" s="237" t="s">
        <v>691</v>
      </c>
    </row>
    <row r="31" spans="1:18">
      <c r="A31" s="6" t="s">
        <v>32</v>
      </c>
      <c r="B31" s="37">
        <f>IF( ISERROR(IND_ander_ele_kWh/1000),0,IND_ander_ele_kWh/1000)</f>
        <v>10327.142</v>
      </c>
      <c r="C31" s="39">
        <f>IF(ISERROR(B31*3.6/1000000/'E Balans VL '!Z19*100),0,B31*3.6/1000000/'E Balans VL '!Z19*100)</f>
        <v>0.45201733003955036</v>
      </c>
      <c r="D31" s="237" t="s">
        <v>691</v>
      </c>
    </row>
    <row r="32" spans="1:18">
      <c r="A32" s="171" t="s">
        <v>40</v>
      </c>
      <c r="B32" s="37">
        <f>IF( ISERROR(IND_voed_ele_kWh/1000),0,IND_voed_ele_kWh/1000)</f>
        <v>5260.3</v>
      </c>
      <c r="C32" s="39">
        <f>IF(ISERROR(B32*3.6/1000000/'E Balans VL '!Z20*100),0,B32*3.6/1000000/'E Balans VL '!Z20*100)</f>
        <v>1.3022755940534683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288.26400000000001</v>
      </c>
      <c r="C34" s="39">
        <f>IF(ISERROR(B34*3.6/1000000/'E Balans VL '!Z22*100),0,B34*3.6/1000000/'E Balans VL '!Z22*100)</f>
        <v>8.1797562660863785E-3</v>
      </c>
      <c r="D34" s="237" t="s">
        <v>691</v>
      </c>
    </row>
    <row r="35" spans="1:5">
      <c r="A35" s="171" t="s">
        <v>38</v>
      </c>
      <c r="B35" s="37">
        <f>IF( ISERROR(IND_papier_ele_kWh/1000),0,IND_papier_ele_kWh/1000)</f>
        <v>303.86500000000001</v>
      </c>
      <c r="C35" s="39">
        <f>IF(ISERROR(B35*3.6/1000000/'E Balans VL '!Z22*100),0,B35*3.6/1000000/'E Balans VL '!Z22*100)</f>
        <v>8.6224489974271387E-3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34.176000000000002</v>
      </c>
      <c r="C37" s="39">
        <f>IF(ISERROR(B37*3.6/1000000/'E Balans VL '!Z15*100),0,B37*3.6/1000000/'E Balans VL '!Z15*100)</f>
        <v>2.5340918882119892E-4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9523.4451253405987</v>
      </c>
      <c r="C5" s="17">
        <f>'Eigen informatie GS &amp; warmtenet'!B60</f>
        <v>0</v>
      </c>
      <c r="D5" s="30">
        <f>IF(ISERROR(SUM(LB_lb_gas_kWh,LB_rest_gas_kWh)/1000),0,SUM(LB_lb_gas_kWh,LB_rest_gas_kWh)/1000)*0.902</f>
        <v>904.50485400000002</v>
      </c>
      <c r="E5" s="17">
        <f>B17*'E Balans VL '!I25/3.6*1000000/100</f>
        <v>88.210137536379946</v>
      </c>
      <c r="F5" s="17">
        <f>B17*('E Balans VL '!L25/3.6*1000000+'E Balans VL '!N25/3.6*1000000)/100</f>
        <v>24162.794497423693</v>
      </c>
      <c r="G5" s="18"/>
      <c r="H5" s="17"/>
      <c r="I5" s="17"/>
      <c r="J5" s="17">
        <f>('E Balans VL '!D25+'E Balans VL '!E25)/3.6*1000000*landbouw!B17/100</f>
        <v>1460.0504196725067</v>
      </c>
      <c r="K5" s="17"/>
      <c r="L5" s="17">
        <f>L6*(-1)</f>
        <v>0</v>
      </c>
      <c r="M5" s="17"/>
      <c r="N5" s="17">
        <f>N6*(-1)</f>
        <v>5344.7142857142853</v>
      </c>
      <c r="O5" s="17"/>
      <c r="P5" s="17"/>
      <c r="R5" s="32"/>
    </row>
    <row r="6" spans="1:18">
      <c r="A6" s="16" t="s">
        <v>493</v>
      </c>
      <c r="B6" s="17" t="s">
        <v>210</v>
      </c>
      <c r="C6" s="17">
        <f>'lokale energieproductie'!O40+'lokale energieproductie'!O32</f>
        <v>62.357142857142847</v>
      </c>
      <c r="D6" s="308">
        <f>('lokale energieproductie'!P32+'lokale energieproductie'!P40)*(-1)</f>
        <v>0</v>
      </c>
      <c r="E6" s="248"/>
      <c r="F6" s="308">
        <f>('lokale energieproductie'!S32+'lokale energieproductie'!S869)*(-1)</f>
        <v>0</v>
      </c>
      <c r="G6" s="249"/>
      <c r="H6" s="248"/>
      <c r="I6" s="248"/>
      <c r="J6" s="248"/>
      <c r="K6" s="248"/>
      <c r="L6" s="308">
        <f>('lokale energieproductie'!T32+'lokale energieproductie'!U32+'lokale energieproductie'!T40+'lokale energieproductie'!U40)*(-1)</f>
        <v>0</v>
      </c>
      <c r="M6" s="248"/>
      <c r="N6" s="308">
        <f>('lokale energieproductie'!V32+'lokale energieproductie'!R32+'lokale energieproductie'!Q32+'lokale energieproductie'!Q40+'lokale energieproductie'!R40+'lokale energieproductie'!V40)*(-1)</f>
        <v>-5344.7142857142853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9523.4451253405987</v>
      </c>
      <c r="C8" s="21">
        <f>C5+C6</f>
        <v>62.357142857142847</v>
      </c>
      <c r="D8" s="21">
        <f>MAX((D5+D6),0)</f>
        <v>904.50485400000002</v>
      </c>
      <c r="E8" s="21">
        <f>MAX((E5+E6),0)</f>
        <v>88.210137536379946</v>
      </c>
      <c r="F8" s="21">
        <f>MAX((F5+F6),0)</f>
        <v>24162.794497423693</v>
      </c>
      <c r="G8" s="21"/>
      <c r="H8" s="21"/>
      <c r="I8" s="21"/>
      <c r="J8" s="21">
        <f>MAX((J5+J6),0)</f>
        <v>1460.0504196725067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0.18908298952074806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1800.7214748361957</v>
      </c>
      <c r="C12" s="23">
        <f ca="1">C8*C10</f>
        <v>0</v>
      </c>
      <c r="D12" s="23">
        <f>D8*D10</f>
        <v>182.70998050800003</v>
      </c>
      <c r="E12" s="23">
        <f>E8*E10</f>
        <v>20.023701220758248</v>
      </c>
      <c r="F12" s="23">
        <f>F8*F10</f>
        <v>6451.4661308121267</v>
      </c>
      <c r="G12" s="23"/>
      <c r="H12" s="23"/>
      <c r="I12" s="23"/>
      <c r="J12" s="23">
        <f>J8*J10</f>
        <v>516.85784856406735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1.3540319648830279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2247.7158473901563</v>
      </c>
      <c r="C26" s="247">
        <f>B26*'GWP N2O_CH4'!B5</f>
        <v>47202.032795193285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1158.6225263933909</v>
      </c>
      <c r="C27" s="247">
        <f>B27*'GWP N2O_CH4'!B5</f>
        <v>24331.073054261207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30.145546771432326</v>
      </c>
      <c r="C28" s="247">
        <f>B28*'GWP N2O_CH4'!B4</f>
        <v>9345.1194991440207</v>
      </c>
      <c r="D28" s="50"/>
    </row>
    <row r="29" spans="1:4">
      <c r="A29" s="41" t="s">
        <v>276</v>
      </c>
      <c r="B29" s="247">
        <f>B34*'ha_N2O bodem landbouw'!B4</f>
        <v>81.337324682430676</v>
      </c>
      <c r="C29" s="247">
        <f>B29*'GWP N2O_CH4'!B4</f>
        <v>25214.570651553509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1.8242528981375902E-2</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6.0671771270118046E-5</v>
      </c>
      <c r="C5" s="438" t="s">
        <v>210</v>
      </c>
      <c r="D5" s="423">
        <f>SUM(D6:D11)</f>
        <v>1.1706544671556863E-4</v>
      </c>
      <c r="E5" s="423">
        <f>SUM(E6:E11)</f>
        <v>1.1198552895656643E-3</v>
      </c>
      <c r="F5" s="436" t="s">
        <v>210</v>
      </c>
      <c r="G5" s="423">
        <f>SUM(G6:G11)</f>
        <v>0.38346605477549306</v>
      </c>
      <c r="H5" s="423">
        <f>SUM(H6:H11)</f>
        <v>7.1124839054610686E-2</v>
      </c>
      <c r="I5" s="438" t="s">
        <v>210</v>
      </c>
      <c r="J5" s="438" t="s">
        <v>210</v>
      </c>
      <c r="K5" s="438" t="s">
        <v>210</v>
      </c>
      <c r="L5" s="438" t="s">
        <v>210</v>
      </c>
      <c r="M5" s="423">
        <f>SUM(M6:M11)</f>
        <v>2.4401780908555493E-2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5.1666507524416044E-5</v>
      </c>
      <c r="C6" s="424"/>
      <c r="D6" s="866">
        <f>vkm_GW_PW*SUMIFS(TableVerdeelsleutelVkm[CNG],TableVerdeelsleutelVkm[Voertuigtype],"Lichte voertuigen")*SUMIFS(TableECFTransport[EnergieConsumptieFactor (PJ per km)],TableECFTransport[Index],CONCATENATE($A6,"_CNG_CNG"))</f>
        <v>9.0157254145347885E-5</v>
      </c>
      <c r="E6" s="866">
        <f>vkm_GW_PW*SUMIFS(TableVerdeelsleutelVkm[LPG],TableVerdeelsleutelVkm[Voertuigtype],"Lichte voertuigen")*SUMIFS(TableECFTransport[EnergieConsumptieFactor (PJ per km)],TableECFTransport[Index],CONCATENATE($A6,"_LPG_LPG"))</f>
        <v>8.7321732520039246E-4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0.20522109681412087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5.5211782890179487E-2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1.3582252526511773E-2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0.11587595688824032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2.2472031281165977E-6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6.7182260128273779E-3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9.0052637457019981E-6</v>
      </c>
      <c r="C8" s="424"/>
      <c r="D8" s="426">
        <f>vkm_NGW_PW*SUMIFS(TableVerdeelsleutelVkm[CNG],TableVerdeelsleutelVkm[Voertuigtype],"Lichte voertuigen")*SUMIFS(TableECFTransport[EnergieConsumptieFactor (PJ per km)],TableECFTransport[Index],CONCATENATE($A8,"_CNG_CNG"))</f>
        <v>2.690819257022075E-5</v>
      </c>
      <c r="E8" s="426">
        <f>vkm_NGW_PW*SUMIFS(TableVerdeelsleutelVkm[LPG],TableVerdeelsleutelVkm[Voertuigtype],"Lichte voertuigen")*SUMIFS(TableECFTransport[EnergieConsumptieFactor (PJ per km)],TableECFTransport[Index],CONCATENATE($A8,"_LPG_LPG"))</f>
        <v>2.4663796436527195E-4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5.4408779827098158E-2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1.591061774257153E-2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3.6397856136381784E-3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7.9602212460337472E-3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1.9121873156386577E-7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4.6151675557816604E-4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16.853269797255013</v>
      </c>
      <c r="C14" s="21"/>
      <c r="D14" s="21">
        <f t="shared" ref="D14:M14" si="0">((D5)*10^9/3600)+D12</f>
        <v>32.518179643213507</v>
      </c>
      <c r="E14" s="21">
        <f t="shared" si="0"/>
        <v>311.07091376824008</v>
      </c>
      <c r="F14" s="21"/>
      <c r="G14" s="21">
        <f t="shared" si="0"/>
        <v>106518.34854874808</v>
      </c>
      <c r="H14" s="21">
        <f t="shared" si="0"/>
        <v>19756.899737391857</v>
      </c>
      <c r="I14" s="21"/>
      <c r="J14" s="21"/>
      <c r="K14" s="21"/>
      <c r="L14" s="21"/>
      <c r="M14" s="21">
        <f t="shared" si="0"/>
        <v>6778.272474598748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0.18908298952074806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3.1866666364647096</v>
      </c>
      <c r="C18" s="23"/>
      <c r="D18" s="23">
        <f t="shared" ref="D18:M18" si="1">D14*D16</f>
        <v>6.5686722879291288</v>
      </c>
      <c r="E18" s="23">
        <f t="shared" si="1"/>
        <v>70.613097425390492</v>
      </c>
      <c r="F18" s="23"/>
      <c r="G18" s="23">
        <f t="shared" si="1"/>
        <v>28440.399062515738</v>
      </c>
      <c r="H18" s="23">
        <f t="shared" si="1"/>
        <v>4919.4680346105724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6.7152617708743966E-3</v>
      </c>
      <c r="H50" s="319">
        <f t="shared" si="2"/>
        <v>0</v>
      </c>
      <c r="I50" s="319">
        <f t="shared" si="2"/>
        <v>0</v>
      </c>
      <c r="J50" s="319">
        <f t="shared" si="2"/>
        <v>0</v>
      </c>
      <c r="K50" s="319">
        <f t="shared" si="2"/>
        <v>0</v>
      </c>
      <c r="L50" s="319">
        <f t="shared" si="2"/>
        <v>0</v>
      </c>
      <c r="M50" s="319">
        <f t="shared" si="2"/>
        <v>3.8382392352794952E-4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6.7152617708743966E-3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3.8382392352794952E-4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1865.3504919095546</v>
      </c>
      <c r="H54" s="21">
        <f t="shared" si="3"/>
        <v>0</v>
      </c>
      <c r="I54" s="21">
        <f t="shared" si="3"/>
        <v>0</v>
      </c>
      <c r="J54" s="21">
        <f t="shared" si="3"/>
        <v>0</v>
      </c>
      <c r="K54" s="21">
        <f t="shared" si="3"/>
        <v>0</v>
      </c>
      <c r="L54" s="21">
        <f t="shared" si="3"/>
        <v>0</v>
      </c>
      <c r="M54" s="21">
        <f t="shared" si="3"/>
        <v>106.61775653554155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0.18908298952074806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498.04858133985113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30514.771971960858</v>
      </c>
      <c r="D10" s="991">
        <f ca="1">tertiair!C16</f>
        <v>0</v>
      </c>
      <c r="E10" s="991">
        <f ca="1">tertiair!D16</f>
        <v>18704.029849999999</v>
      </c>
      <c r="F10" s="991">
        <f>tertiair!E16</f>
        <v>263.27092774032155</v>
      </c>
      <c r="G10" s="991">
        <f ca="1">tertiair!F16</f>
        <v>4956.8055252030945</v>
      </c>
      <c r="H10" s="991">
        <f>tertiair!G16</f>
        <v>0</v>
      </c>
      <c r="I10" s="991">
        <f>tertiair!H16</f>
        <v>0</v>
      </c>
      <c r="J10" s="991">
        <f>tertiair!I16</f>
        <v>0</v>
      </c>
      <c r="K10" s="991">
        <f>tertiair!J16</f>
        <v>0</v>
      </c>
      <c r="L10" s="991">
        <f>tertiair!K16</f>
        <v>0</v>
      </c>
      <c r="M10" s="991">
        <f ca="1">tertiair!L16</f>
        <v>0</v>
      </c>
      <c r="N10" s="991">
        <f>tertiair!M16</f>
        <v>0</v>
      </c>
      <c r="O10" s="991">
        <f ca="1">tertiair!N16</f>
        <v>7024.8163180948732</v>
      </c>
      <c r="P10" s="991">
        <f>tertiair!O16</f>
        <v>3.1266666666666669</v>
      </c>
      <c r="Q10" s="992">
        <f>tertiair!P16</f>
        <v>19.066666666666666</v>
      </c>
      <c r="R10" s="675">
        <f ca="1">SUM(C10:Q10)</f>
        <v>61485.887926332478</v>
      </c>
      <c r="S10" s="67"/>
    </row>
    <row r="11" spans="1:19" s="448" customFormat="1">
      <c r="A11" s="784" t="s">
        <v>224</v>
      </c>
      <c r="B11" s="789"/>
      <c r="C11" s="991">
        <f>huishoudens!B8</f>
        <v>29267.14656704956</v>
      </c>
      <c r="D11" s="991">
        <f>huishoudens!C8</f>
        <v>0</v>
      </c>
      <c r="E11" s="991">
        <f>huishoudens!D8</f>
        <v>59368.418691999992</v>
      </c>
      <c r="F11" s="991">
        <f>huishoudens!E8</f>
        <v>37689.615996123393</v>
      </c>
      <c r="G11" s="991">
        <f>huishoudens!F8</f>
        <v>9729.7314229239055</v>
      </c>
      <c r="H11" s="991">
        <f>huishoudens!G8</f>
        <v>0</v>
      </c>
      <c r="I11" s="991">
        <f>huishoudens!H8</f>
        <v>0</v>
      </c>
      <c r="J11" s="991">
        <f>huishoudens!I8</f>
        <v>0</v>
      </c>
      <c r="K11" s="991">
        <f>huishoudens!J8</f>
        <v>2928.1702019085938</v>
      </c>
      <c r="L11" s="991">
        <f>huishoudens!K8</f>
        <v>0</v>
      </c>
      <c r="M11" s="991">
        <f>huishoudens!L8</f>
        <v>0</v>
      </c>
      <c r="N11" s="991">
        <f>huishoudens!M8</f>
        <v>0</v>
      </c>
      <c r="O11" s="991">
        <f>huishoudens!N8</f>
        <v>23223.248164072804</v>
      </c>
      <c r="P11" s="991">
        <f>huishoudens!O8</f>
        <v>245.44333333333333</v>
      </c>
      <c r="Q11" s="992">
        <f>huishoudens!P8</f>
        <v>514.79999999999995</v>
      </c>
      <c r="R11" s="675">
        <f>SUM(C11:Q11)</f>
        <v>162966.57437741157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18907.457999999999</v>
      </c>
      <c r="D13" s="991">
        <f>industrie!C18</f>
        <v>0</v>
      </c>
      <c r="E13" s="991">
        <f>industrie!D18</f>
        <v>11136.847875999998</v>
      </c>
      <c r="F13" s="991">
        <f>industrie!E18</f>
        <v>2963.8214864280121</v>
      </c>
      <c r="G13" s="991">
        <f>industrie!F18</f>
        <v>18943.30596280055</v>
      </c>
      <c r="H13" s="991">
        <f>industrie!G18</f>
        <v>0</v>
      </c>
      <c r="I13" s="991">
        <f>industrie!H18</f>
        <v>0</v>
      </c>
      <c r="J13" s="991">
        <f>industrie!I18</f>
        <v>0</v>
      </c>
      <c r="K13" s="991">
        <f>industrie!J18</f>
        <v>126.46700191062672</v>
      </c>
      <c r="L13" s="991">
        <f>industrie!K18</f>
        <v>0</v>
      </c>
      <c r="M13" s="991">
        <f>industrie!L18</f>
        <v>0</v>
      </c>
      <c r="N13" s="991">
        <f>industrie!M18</f>
        <v>0</v>
      </c>
      <c r="O13" s="991">
        <f>industrie!N18</f>
        <v>3695.3544700905977</v>
      </c>
      <c r="P13" s="991">
        <f>industrie!O18</f>
        <v>0</v>
      </c>
      <c r="Q13" s="992">
        <f>industrie!P18</f>
        <v>0</v>
      </c>
      <c r="R13" s="675">
        <f>SUM(C13:Q13)</f>
        <v>55773.254797229783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78689.376539010409</v>
      </c>
      <c r="D16" s="707">
        <f t="shared" ref="D16:R16" ca="1" si="0">SUM(D9:D15)</f>
        <v>0</v>
      </c>
      <c r="E16" s="707">
        <f t="shared" ca="1" si="0"/>
        <v>89209.296417999998</v>
      </c>
      <c r="F16" s="707">
        <f t="shared" si="0"/>
        <v>40916.708410291722</v>
      </c>
      <c r="G16" s="707">
        <f t="shared" ca="1" si="0"/>
        <v>33629.842910927546</v>
      </c>
      <c r="H16" s="707">
        <f t="shared" si="0"/>
        <v>0</v>
      </c>
      <c r="I16" s="707">
        <f t="shared" si="0"/>
        <v>0</v>
      </c>
      <c r="J16" s="707">
        <f t="shared" si="0"/>
        <v>0</v>
      </c>
      <c r="K16" s="707">
        <f t="shared" si="0"/>
        <v>3054.6372038192203</v>
      </c>
      <c r="L16" s="707">
        <f t="shared" si="0"/>
        <v>0</v>
      </c>
      <c r="M16" s="707">
        <f t="shared" ca="1" si="0"/>
        <v>0</v>
      </c>
      <c r="N16" s="707">
        <f t="shared" si="0"/>
        <v>0</v>
      </c>
      <c r="O16" s="707">
        <f t="shared" ca="1" si="0"/>
        <v>33943.418952258275</v>
      </c>
      <c r="P16" s="707">
        <f t="shared" si="0"/>
        <v>248.57</v>
      </c>
      <c r="Q16" s="707">
        <f t="shared" si="0"/>
        <v>533.86666666666667</v>
      </c>
      <c r="R16" s="707">
        <f t="shared" ca="1" si="0"/>
        <v>280225.71710097382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1865.3504919095546</v>
      </c>
      <c r="I19" s="991">
        <f>transport!H54</f>
        <v>0</v>
      </c>
      <c r="J19" s="991">
        <f>transport!I54</f>
        <v>0</v>
      </c>
      <c r="K19" s="991">
        <f>transport!J54</f>
        <v>0</v>
      </c>
      <c r="L19" s="991">
        <f>transport!K54</f>
        <v>0</v>
      </c>
      <c r="M19" s="991">
        <f>transport!L54</f>
        <v>0</v>
      </c>
      <c r="N19" s="991">
        <f>transport!M54</f>
        <v>106.61775653554155</v>
      </c>
      <c r="O19" s="991">
        <f>transport!N54</f>
        <v>0</v>
      </c>
      <c r="P19" s="991">
        <f>transport!O54</f>
        <v>0</v>
      </c>
      <c r="Q19" s="992">
        <f>transport!P54</f>
        <v>0</v>
      </c>
      <c r="R19" s="675">
        <f>SUM(C19:Q19)</f>
        <v>1971.9682484450962</v>
      </c>
      <c r="S19" s="67"/>
    </row>
    <row r="20" spans="1:19" s="448" customFormat="1">
      <c r="A20" s="784" t="s">
        <v>306</v>
      </c>
      <c r="B20" s="789"/>
      <c r="C20" s="991">
        <f>transport!B14</f>
        <v>16.853269797255013</v>
      </c>
      <c r="D20" s="991">
        <f>transport!C14</f>
        <v>0</v>
      </c>
      <c r="E20" s="991">
        <f>transport!D14</f>
        <v>32.518179643213507</v>
      </c>
      <c r="F20" s="991">
        <f>transport!E14</f>
        <v>311.07091376824008</v>
      </c>
      <c r="G20" s="991">
        <f>transport!F14</f>
        <v>0</v>
      </c>
      <c r="H20" s="991">
        <f>transport!G14</f>
        <v>106518.34854874808</v>
      </c>
      <c r="I20" s="991">
        <f>transport!H14</f>
        <v>19756.899737391857</v>
      </c>
      <c r="J20" s="991">
        <f>transport!I14</f>
        <v>0</v>
      </c>
      <c r="K20" s="991">
        <f>transport!J14</f>
        <v>0</v>
      </c>
      <c r="L20" s="991">
        <f>transport!K14</f>
        <v>0</v>
      </c>
      <c r="M20" s="991">
        <f>transport!L14</f>
        <v>0</v>
      </c>
      <c r="N20" s="991">
        <f>transport!M14</f>
        <v>6778.272474598748</v>
      </c>
      <c r="O20" s="991">
        <f>transport!N14</f>
        <v>0</v>
      </c>
      <c r="P20" s="991">
        <f>transport!O14</f>
        <v>0</v>
      </c>
      <c r="Q20" s="992">
        <f>transport!P14</f>
        <v>0</v>
      </c>
      <c r="R20" s="675">
        <f>SUM(C20:Q20)</f>
        <v>133413.96312394738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16.853269797255013</v>
      </c>
      <c r="D22" s="787">
        <f t="shared" ref="D22:R22" si="1">SUM(D18:D21)</f>
        <v>0</v>
      </c>
      <c r="E22" s="787">
        <f t="shared" si="1"/>
        <v>32.518179643213507</v>
      </c>
      <c r="F22" s="787">
        <f t="shared" si="1"/>
        <v>311.07091376824008</v>
      </c>
      <c r="G22" s="787">
        <f t="shared" si="1"/>
        <v>0</v>
      </c>
      <c r="H22" s="787">
        <f t="shared" si="1"/>
        <v>108383.69904065764</v>
      </c>
      <c r="I22" s="787">
        <f t="shared" si="1"/>
        <v>19756.899737391857</v>
      </c>
      <c r="J22" s="787">
        <f t="shared" si="1"/>
        <v>0</v>
      </c>
      <c r="K22" s="787">
        <f t="shared" si="1"/>
        <v>0</v>
      </c>
      <c r="L22" s="787">
        <f t="shared" si="1"/>
        <v>0</v>
      </c>
      <c r="M22" s="787">
        <f t="shared" si="1"/>
        <v>0</v>
      </c>
      <c r="N22" s="787">
        <f t="shared" si="1"/>
        <v>6884.8902311342899</v>
      </c>
      <c r="O22" s="787">
        <f t="shared" si="1"/>
        <v>0</v>
      </c>
      <c r="P22" s="787">
        <f t="shared" si="1"/>
        <v>0</v>
      </c>
      <c r="Q22" s="787">
        <f t="shared" si="1"/>
        <v>0</v>
      </c>
      <c r="R22" s="787">
        <f t="shared" si="1"/>
        <v>135385.93137239249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9523.4451253405987</v>
      </c>
      <c r="D24" s="991">
        <f>+landbouw!C8</f>
        <v>62.357142857142847</v>
      </c>
      <c r="E24" s="991">
        <f>+landbouw!D8</f>
        <v>904.50485400000002</v>
      </c>
      <c r="F24" s="991">
        <f>+landbouw!E8</f>
        <v>88.210137536379946</v>
      </c>
      <c r="G24" s="991">
        <f>+landbouw!F8</f>
        <v>24162.794497423693</v>
      </c>
      <c r="H24" s="991">
        <f>+landbouw!G8</f>
        <v>0</v>
      </c>
      <c r="I24" s="991">
        <f>+landbouw!H8</f>
        <v>0</v>
      </c>
      <c r="J24" s="991">
        <f>+landbouw!I8</f>
        <v>0</v>
      </c>
      <c r="K24" s="991">
        <f>+landbouw!J8</f>
        <v>1460.0504196725067</v>
      </c>
      <c r="L24" s="991">
        <f>+landbouw!K8</f>
        <v>0</v>
      </c>
      <c r="M24" s="991">
        <f>+landbouw!L8</f>
        <v>0</v>
      </c>
      <c r="N24" s="991">
        <f>+landbouw!M8</f>
        <v>0</v>
      </c>
      <c r="O24" s="991">
        <f>+landbouw!N8</f>
        <v>0</v>
      </c>
      <c r="P24" s="991">
        <f>+landbouw!O8</f>
        <v>0</v>
      </c>
      <c r="Q24" s="992">
        <f>+landbouw!P8</f>
        <v>0</v>
      </c>
      <c r="R24" s="675">
        <f>SUM(C24:Q24)</f>
        <v>36201.362176830327</v>
      </c>
      <c r="S24" s="67"/>
    </row>
    <row r="25" spans="1:19" s="448" customFormat="1" ht="15" thickBot="1">
      <c r="A25" s="806" t="s">
        <v>849</v>
      </c>
      <c r="B25" s="994"/>
      <c r="C25" s="995">
        <f>IF(Onbekend_ele_kWh="---",0,Onbekend_ele_kWh)/1000+IF(REST_rest_ele_kWh="---",0,REST_rest_ele_kWh)/1000</f>
        <v>576.41399999999999</v>
      </c>
      <c r="D25" s="995"/>
      <c r="E25" s="995">
        <f>IF(onbekend_gas_kWh="---",0,onbekend_gas_kWh)/1000+IF(REST_rest_gas_kWh="---",0,REST_rest_gas_kWh)/1000</f>
        <v>978.19</v>
      </c>
      <c r="F25" s="995"/>
      <c r="G25" s="995"/>
      <c r="H25" s="995"/>
      <c r="I25" s="995"/>
      <c r="J25" s="995"/>
      <c r="K25" s="995"/>
      <c r="L25" s="995"/>
      <c r="M25" s="995"/>
      <c r="N25" s="995"/>
      <c r="O25" s="995"/>
      <c r="P25" s="995"/>
      <c r="Q25" s="996"/>
      <c r="R25" s="675">
        <f>SUM(C25:Q25)</f>
        <v>1554.604</v>
      </c>
      <c r="S25" s="67"/>
    </row>
    <row r="26" spans="1:19" s="448" customFormat="1" ht="15.75" thickBot="1">
      <c r="A26" s="680" t="s">
        <v>850</v>
      </c>
      <c r="B26" s="792"/>
      <c r="C26" s="787">
        <f>SUM(C24:C25)</f>
        <v>10099.859125340599</v>
      </c>
      <c r="D26" s="787">
        <f t="shared" ref="D26:R26" si="2">SUM(D24:D25)</f>
        <v>62.357142857142847</v>
      </c>
      <c r="E26" s="787">
        <f t="shared" si="2"/>
        <v>1882.6948540000001</v>
      </c>
      <c r="F26" s="787">
        <f t="shared" si="2"/>
        <v>88.210137536379946</v>
      </c>
      <c r="G26" s="787">
        <f t="shared" si="2"/>
        <v>24162.794497423693</v>
      </c>
      <c r="H26" s="787">
        <f t="shared" si="2"/>
        <v>0</v>
      </c>
      <c r="I26" s="787">
        <f t="shared" si="2"/>
        <v>0</v>
      </c>
      <c r="J26" s="787">
        <f t="shared" si="2"/>
        <v>0</v>
      </c>
      <c r="K26" s="787">
        <f t="shared" si="2"/>
        <v>1460.0504196725067</v>
      </c>
      <c r="L26" s="787">
        <f t="shared" si="2"/>
        <v>0</v>
      </c>
      <c r="M26" s="787">
        <f t="shared" si="2"/>
        <v>0</v>
      </c>
      <c r="N26" s="787">
        <f t="shared" si="2"/>
        <v>0</v>
      </c>
      <c r="O26" s="787">
        <f t="shared" si="2"/>
        <v>0</v>
      </c>
      <c r="P26" s="787">
        <f t="shared" si="2"/>
        <v>0</v>
      </c>
      <c r="Q26" s="787">
        <f t="shared" si="2"/>
        <v>0</v>
      </c>
      <c r="R26" s="787">
        <f t="shared" si="2"/>
        <v>37755.966176830327</v>
      </c>
      <c r="S26" s="67"/>
    </row>
    <row r="27" spans="1:19" s="448" customFormat="1" ht="17.25" thickTop="1" thickBot="1">
      <c r="A27" s="681" t="s">
        <v>115</v>
      </c>
      <c r="B27" s="780"/>
      <c r="C27" s="682">
        <f ca="1">C22+C16+C26</f>
        <v>88806.088934148269</v>
      </c>
      <c r="D27" s="682">
        <f t="shared" ref="D27:R27" ca="1" si="3">D22+D16+D26</f>
        <v>62.357142857142847</v>
      </c>
      <c r="E27" s="682">
        <f t="shared" ca="1" si="3"/>
        <v>91124.509451643215</v>
      </c>
      <c r="F27" s="682">
        <f t="shared" si="3"/>
        <v>41315.989461596342</v>
      </c>
      <c r="G27" s="682">
        <f t="shared" ca="1" si="3"/>
        <v>57792.637408351235</v>
      </c>
      <c r="H27" s="682">
        <f t="shared" si="3"/>
        <v>108383.69904065764</v>
      </c>
      <c r="I27" s="682">
        <f t="shared" si="3"/>
        <v>19756.899737391857</v>
      </c>
      <c r="J27" s="682">
        <f t="shared" si="3"/>
        <v>0</v>
      </c>
      <c r="K27" s="682">
        <f t="shared" si="3"/>
        <v>4514.6876234917272</v>
      </c>
      <c r="L27" s="682">
        <f t="shared" si="3"/>
        <v>0</v>
      </c>
      <c r="M27" s="682">
        <f t="shared" ca="1" si="3"/>
        <v>0</v>
      </c>
      <c r="N27" s="682">
        <f t="shared" si="3"/>
        <v>6884.8902311342899</v>
      </c>
      <c r="O27" s="682">
        <f t="shared" ca="1" si="3"/>
        <v>33943.418952258275</v>
      </c>
      <c r="P27" s="682">
        <f t="shared" si="3"/>
        <v>248.57</v>
      </c>
      <c r="Q27" s="682">
        <f t="shared" si="3"/>
        <v>533.86666666666667</v>
      </c>
      <c r="R27" s="682">
        <f t="shared" ca="1" si="3"/>
        <v>453367.61465019663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5769.8243090022916</v>
      </c>
      <c r="D40" s="991">
        <f ca="1">tertiair!C20</f>
        <v>0</v>
      </c>
      <c r="E40" s="991">
        <f ca="1">tertiair!D20</f>
        <v>3778.2140297000001</v>
      </c>
      <c r="F40" s="991">
        <f>tertiair!E20</f>
        <v>59.762500597052991</v>
      </c>
      <c r="G40" s="991">
        <f ca="1">tertiair!F20</f>
        <v>1323.4670752292263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10931.267914528571</v>
      </c>
    </row>
    <row r="41" spans="1:18">
      <c r="A41" s="797" t="s">
        <v>224</v>
      </c>
      <c r="B41" s="804"/>
      <c r="C41" s="991">
        <f ca="1">huishoudens!B12</f>
        <v>5533.9195676396293</v>
      </c>
      <c r="D41" s="991">
        <f ca="1">huishoudens!C12</f>
        <v>0</v>
      </c>
      <c r="E41" s="991">
        <f>huishoudens!D12</f>
        <v>11992.420575783999</v>
      </c>
      <c r="F41" s="991">
        <f>huishoudens!E12</f>
        <v>8555.5428311200103</v>
      </c>
      <c r="G41" s="991">
        <f>huishoudens!F12</f>
        <v>2597.8382899206831</v>
      </c>
      <c r="H41" s="991">
        <f>huishoudens!G12</f>
        <v>0</v>
      </c>
      <c r="I41" s="991">
        <f>huishoudens!H12</f>
        <v>0</v>
      </c>
      <c r="J41" s="991">
        <f>huishoudens!I12</f>
        <v>0</v>
      </c>
      <c r="K41" s="991">
        <f>huishoudens!J12</f>
        <v>1036.5722514756421</v>
      </c>
      <c r="L41" s="991">
        <f>huishoudens!K12</f>
        <v>0</v>
      </c>
      <c r="M41" s="991">
        <f>huishoudens!L12</f>
        <v>0</v>
      </c>
      <c r="N41" s="991">
        <f>huishoudens!M12</f>
        <v>0</v>
      </c>
      <c r="O41" s="991">
        <f>huishoudens!N12</f>
        <v>0</v>
      </c>
      <c r="P41" s="991">
        <f>huishoudens!O12</f>
        <v>0</v>
      </c>
      <c r="Q41" s="749">
        <f>huishoudens!P12</f>
        <v>0</v>
      </c>
      <c r="R41" s="825">
        <f t="shared" ca="1" si="4"/>
        <v>29716.293515939964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3575.0786828779837</v>
      </c>
      <c r="D43" s="991">
        <f ca="1">industrie!C22</f>
        <v>0</v>
      </c>
      <c r="E43" s="991">
        <f>industrie!D22</f>
        <v>2249.6432709519995</v>
      </c>
      <c r="F43" s="991">
        <f>industrie!E22</f>
        <v>672.78747741915879</v>
      </c>
      <c r="G43" s="991">
        <f>industrie!F22</f>
        <v>5057.862692067747</v>
      </c>
      <c r="H43" s="991">
        <f>industrie!G22</f>
        <v>0</v>
      </c>
      <c r="I43" s="991">
        <f>industrie!H22</f>
        <v>0</v>
      </c>
      <c r="J43" s="991">
        <f>industrie!I22</f>
        <v>0</v>
      </c>
      <c r="K43" s="991">
        <f>industrie!J22</f>
        <v>44.769318676361856</v>
      </c>
      <c r="L43" s="991">
        <f>industrie!K22</f>
        <v>0</v>
      </c>
      <c r="M43" s="991">
        <f>industrie!L22</f>
        <v>0</v>
      </c>
      <c r="N43" s="991">
        <f>industrie!M22</f>
        <v>0</v>
      </c>
      <c r="O43" s="991">
        <f>industrie!N22</f>
        <v>0</v>
      </c>
      <c r="P43" s="991">
        <f>industrie!O22</f>
        <v>0</v>
      </c>
      <c r="Q43" s="749">
        <f>industrie!P22</f>
        <v>0</v>
      </c>
      <c r="R43" s="824">
        <f t="shared" ca="1" si="4"/>
        <v>11600.141441993252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14878.822559519906</v>
      </c>
      <c r="D46" s="707">
        <f t="shared" ref="D46:Q46" ca="1" si="5">SUM(D39:D45)</f>
        <v>0</v>
      </c>
      <c r="E46" s="707">
        <f t="shared" ca="1" si="5"/>
        <v>18020.277876435997</v>
      </c>
      <c r="F46" s="707">
        <f t="shared" si="5"/>
        <v>9288.0928091362221</v>
      </c>
      <c r="G46" s="707">
        <f t="shared" ca="1" si="5"/>
        <v>8979.1680572176556</v>
      </c>
      <c r="H46" s="707">
        <f t="shared" si="5"/>
        <v>0</v>
      </c>
      <c r="I46" s="707">
        <f t="shared" si="5"/>
        <v>0</v>
      </c>
      <c r="J46" s="707">
        <f t="shared" si="5"/>
        <v>0</v>
      </c>
      <c r="K46" s="707">
        <f t="shared" si="5"/>
        <v>1081.3415701520039</v>
      </c>
      <c r="L46" s="707">
        <f t="shared" si="5"/>
        <v>0</v>
      </c>
      <c r="M46" s="707">
        <f t="shared" ca="1" si="5"/>
        <v>0</v>
      </c>
      <c r="N46" s="707">
        <f t="shared" si="5"/>
        <v>0</v>
      </c>
      <c r="O46" s="707">
        <f t="shared" ca="1" si="5"/>
        <v>0</v>
      </c>
      <c r="P46" s="707">
        <f t="shared" si="5"/>
        <v>0</v>
      </c>
      <c r="Q46" s="707">
        <f t="shared" si="5"/>
        <v>0</v>
      </c>
      <c r="R46" s="707">
        <f ca="1">SUM(R39:R45)</f>
        <v>52247.702872461785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498.04858133985113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498.04858133985113</v>
      </c>
    </row>
    <row r="50" spans="1:18">
      <c r="A50" s="800" t="s">
        <v>306</v>
      </c>
      <c r="B50" s="810"/>
      <c r="C50" s="678">
        <f ca="1">transport!B18</f>
        <v>3.1866666364647096</v>
      </c>
      <c r="D50" s="678">
        <f>transport!C18</f>
        <v>0</v>
      </c>
      <c r="E50" s="678">
        <f>transport!D18</f>
        <v>6.5686722879291288</v>
      </c>
      <c r="F50" s="678">
        <f>transport!E18</f>
        <v>70.613097425390492</v>
      </c>
      <c r="G50" s="678">
        <f>transport!F18</f>
        <v>0</v>
      </c>
      <c r="H50" s="678">
        <f>transport!G18</f>
        <v>28440.399062515738</v>
      </c>
      <c r="I50" s="678">
        <f>transport!H18</f>
        <v>4919.4680346105724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33440.235533476094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3.1866666364647096</v>
      </c>
      <c r="D52" s="707">
        <f t="shared" ref="D52:Q52" ca="1" si="6">SUM(D48:D51)</f>
        <v>0</v>
      </c>
      <c r="E52" s="707">
        <f t="shared" si="6"/>
        <v>6.5686722879291288</v>
      </c>
      <c r="F52" s="707">
        <f t="shared" si="6"/>
        <v>70.613097425390492</v>
      </c>
      <c r="G52" s="707">
        <f t="shared" si="6"/>
        <v>0</v>
      </c>
      <c r="H52" s="707">
        <f t="shared" si="6"/>
        <v>28938.44764385559</v>
      </c>
      <c r="I52" s="707">
        <f t="shared" si="6"/>
        <v>4919.4680346105724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33938.284114815942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1800.7214748361957</v>
      </c>
      <c r="D54" s="678">
        <f ca="1">+landbouw!C12</f>
        <v>0</v>
      </c>
      <c r="E54" s="678">
        <f>+landbouw!D12</f>
        <v>182.70998050800003</v>
      </c>
      <c r="F54" s="678">
        <f>+landbouw!E12</f>
        <v>20.023701220758248</v>
      </c>
      <c r="G54" s="678">
        <f>+landbouw!F12</f>
        <v>6451.4661308121267</v>
      </c>
      <c r="H54" s="678">
        <f>+landbouw!G12</f>
        <v>0</v>
      </c>
      <c r="I54" s="678">
        <f>+landbouw!H12</f>
        <v>0</v>
      </c>
      <c r="J54" s="678">
        <f>+landbouw!I12</f>
        <v>0</v>
      </c>
      <c r="K54" s="678">
        <f>+landbouw!J12</f>
        <v>516.85784856406735</v>
      </c>
      <c r="L54" s="678">
        <f>+landbouw!K12</f>
        <v>0</v>
      </c>
      <c r="M54" s="678">
        <f>+landbouw!L12</f>
        <v>0</v>
      </c>
      <c r="N54" s="678">
        <f>+landbouw!M12</f>
        <v>0</v>
      </c>
      <c r="O54" s="678">
        <f>+landbouw!N12</f>
        <v>0</v>
      </c>
      <c r="P54" s="678">
        <f>+landbouw!O12</f>
        <v>0</v>
      </c>
      <c r="Q54" s="679">
        <f>+landbouw!P12</f>
        <v>0</v>
      </c>
      <c r="R54" s="706">
        <f ca="1">SUM(C54:Q54)</f>
        <v>8971.7791359411494</v>
      </c>
    </row>
    <row r="55" spans="1:18" ht="15" thickBot="1">
      <c r="A55" s="800" t="s">
        <v>849</v>
      </c>
      <c r="B55" s="810"/>
      <c r="C55" s="678">
        <f ca="1">C25*'EF ele_warmte'!B12</f>
        <v>108.99008232161248</v>
      </c>
      <c r="D55" s="678"/>
      <c r="E55" s="678">
        <f>E25*EF_CO2_aardgas</f>
        <v>197.59438000000003</v>
      </c>
      <c r="F55" s="678"/>
      <c r="G55" s="678"/>
      <c r="H55" s="678"/>
      <c r="I55" s="678"/>
      <c r="J55" s="678"/>
      <c r="K55" s="678"/>
      <c r="L55" s="678"/>
      <c r="M55" s="678"/>
      <c r="N55" s="678"/>
      <c r="O55" s="678"/>
      <c r="P55" s="678"/>
      <c r="Q55" s="679"/>
      <c r="R55" s="706">
        <f ca="1">SUM(C55:Q55)</f>
        <v>306.58446232161248</v>
      </c>
    </row>
    <row r="56" spans="1:18" ht="15.75" thickBot="1">
      <c r="A56" s="798" t="s">
        <v>850</v>
      </c>
      <c r="B56" s="811"/>
      <c r="C56" s="707">
        <f ca="1">SUM(C54:C55)</f>
        <v>1909.7115571578083</v>
      </c>
      <c r="D56" s="707">
        <f t="shared" ref="D56:Q56" ca="1" si="7">SUM(D54:D55)</f>
        <v>0</v>
      </c>
      <c r="E56" s="707">
        <f t="shared" si="7"/>
        <v>380.30436050800006</v>
      </c>
      <c r="F56" s="707">
        <f t="shared" si="7"/>
        <v>20.023701220758248</v>
      </c>
      <c r="G56" s="707">
        <f t="shared" si="7"/>
        <v>6451.4661308121267</v>
      </c>
      <c r="H56" s="707">
        <f t="shared" si="7"/>
        <v>0</v>
      </c>
      <c r="I56" s="707">
        <f t="shared" si="7"/>
        <v>0</v>
      </c>
      <c r="J56" s="707">
        <f t="shared" si="7"/>
        <v>0</v>
      </c>
      <c r="K56" s="707">
        <f t="shared" si="7"/>
        <v>516.85784856406735</v>
      </c>
      <c r="L56" s="707">
        <f t="shared" si="7"/>
        <v>0</v>
      </c>
      <c r="M56" s="707">
        <f t="shared" si="7"/>
        <v>0</v>
      </c>
      <c r="N56" s="707">
        <f t="shared" si="7"/>
        <v>0</v>
      </c>
      <c r="O56" s="707">
        <f t="shared" si="7"/>
        <v>0</v>
      </c>
      <c r="P56" s="707">
        <f t="shared" si="7"/>
        <v>0</v>
      </c>
      <c r="Q56" s="708">
        <f t="shared" si="7"/>
        <v>0</v>
      </c>
      <c r="R56" s="709">
        <f ca="1">SUM(R54:R55)</f>
        <v>9278.363598262762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16791.720783314177</v>
      </c>
      <c r="D61" s="715">
        <f t="shared" ref="D61:Q61" ca="1" si="8">D46+D52+D56</f>
        <v>0</v>
      </c>
      <c r="E61" s="715">
        <f t="shared" ca="1" si="8"/>
        <v>18407.150909231925</v>
      </c>
      <c r="F61" s="715">
        <f t="shared" si="8"/>
        <v>9378.7296077823703</v>
      </c>
      <c r="G61" s="715">
        <f t="shared" ca="1" si="8"/>
        <v>15430.634188029782</v>
      </c>
      <c r="H61" s="715">
        <f t="shared" si="8"/>
        <v>28938.44764385559</v>
      </c>
      <c r="I61" s="715">
        <f t="shared" si="8"/>
        <v>4919.4680346105724</v>
      </c>
      <c r="J61" s="715">
        <f t="shared" si="8"/>
        <v>0</v>
      </c>
      <c r="K61" s="715">
        <f t="shared" si="8"/>
        <v>1598.1994187160712</v>
      </c>
      <c r="L61" s="715">
        <f t="shared" si="8"/>
        <v>0</v>
      </c>
      <c r="M61" s="715">
        <f t="shared" ca="1" si="8"/>
        <v>0</v>
      </c>
      <c r="N61" s="715">
        <f t="shared" si="8"/>
        <v>0</v>
      </c>
      <c r="O61" s="715">
        <f t="shared" ca="1" si="8"/>
        <v>0</v>
      </c>
      <c r="P61" s="715">
        <f t="shared" si="8"/>
        <v>0</v>
      </c>
      <c r="Q61" s="715">
        <f t="shared" si="8"/>
        <v>0</v>
      </c>
      <c r="R61" s="715">
        <f ca="1">R46+R52+R56</f>
        <v>95464.35058554048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0.18908298952074806</v>
      </c>
      <c r="D63" s="756">
        <f t="shared" ca="1" si="9"/>
        <v>0</v>
      </c>
      <c r="E63" s="1002">
        <f t="shared" ca="1" si="9"/>
        <v>0.20199999999999996</v>
      </c>
      <c r="F63" s="756">
        <f t="shared" si="9"/>
        <v>0.22700000000000001</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2803.1050047492131</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8133.6969008281139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1845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5220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12825.451905577327</v>
      </c>
      <c r="C78" s="730">
        <f>SUM(C72:C77)</f>
        <v>0</v>
      </c>
      <c r="D78" s="731">
        <f t="shared" ref="D78:H78" si="10">SUM(D76:D77)</f>
        <v>0</v>
      </c>
      <c r="E78" s="731">
        <f t="shared" si="10"/>
        <v>0</v>
      </c>
      <c r="F78" s="731">
        <f t="shared" si="10"/>
        <v>0</v>
      </c>
      <c r="G78" s="731">
        <f t="shared" si="10"/>
        <v>0</v>
      </c>
      <c r="H78" s="731">
        <f t="shared" si="10"/>
        <v>0</v>
      </c>
      <c r="I78" s="731">
        <f>SUM(I76:I77)</f>
        <v>0</v>
      </c>
      <c r="J78" s="731">
        <f>SUM(J76:J77)</f>
        <v>5271.3529411764703</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2803.1050047492131</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8133.6969008281139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B49</f>
        <v>0</v>
      </c>
      <c r="D8" s="1022"/>
      <c r="E8" s="1022">
        <f>E49</f>
        <v>0</v>
      </c>
      <c r="F8" s="1023"/>
      <c r="G8" s="546"/>
      <c r="H8" s="1022">
        <f>I49</f>
        <v>0</v>
      </c>
      <c r="I8" s="1022">
        <f>G49+F49</f>
        <v>0</v>
      </c>
      <c r="J8" s="1022">
        <f>H49+D49+C49</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N37+'Eigen informatie GS &amp; warmtenet'!B12</f>
        <v>1845</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12825.451905577327</v>
      </c>
      <c r="C10" s="558">
        <f t="shared" ref="C10:L10" si="0">SUM(C8:C9)</f>
        <v>0</v>
      </c>
      <c r="D10" s="558">
        <f t="shared" si="0"/>
        <v>0</v>
      </c>
      <c r="E10" s="558">
        <f t="shared" si="0"/>
        <v>0</v>
      </c>
      <c r="F10" s="558">
        <f t="shared" si="0"/>
        <v>0</v>
      </c>
      <c r="G10" s="558">
        <f t="shared" si="0"/>
        <v>0</v>
      </c>
      <c r="H10" s="558">
        <f t="shared" si="0"/>
        <v>0</v>
      </c>
      <c r="I10" s="558">
        <f t="shared" si="0"/>
        <v>0</v>
      </c>
      <c r="J10" s="558">
        <f t="shared" si="0"/>
        <v>5271.3529411764703</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B50</f>
        <v>0</v>
      </c>
      <c r="D17" s="571"/>
      <c r="E17" s="571">
        <f>E50</f>
        <v>0</v>
      </c>
      <c r="F17" s="1028"/>
      <c r="G17" s="572"/>
      <c r="H17" s="570">
        <f>I50</f>
        <v>0</v>
      </c>
      <c r="I17" s="571">
        <f>G50+F50</f>
        <v>0</v>
      </c>
      <c r="J17" s="571">
        <f>H50+D50+C50</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32003</v>
      </c>
      <c r="C28" s="771">
        <v>8600</v>
      </c>
      <c r="D28" s="628" t="s">
        <v>913</v>
      </c>
      <c r="E28" s="627" t="s">
        <v>914</v>
      </c>
      <c r="F28" s="627" t="s">
        <v>915</v>
      </c>
      <c r="G28" s="627" t="s">
        <v>916</v>
      </c>
      <c r="H28" s="627" t="s">
        <v>917</v>
      </c>
      <c r="I28" s="627" t="s">
        <v>918</v>
      </c>
      <c r="J28" s="770">
        <v>41117</v>
      </c>
      <c r="K28" s="770">
        <v>41244</v>
      </c>
      <c r="L28" s="627" t="s">
        <v>919</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38.25">
      <c r="A35" s="582"/>
      <c r="B35" s="771">
        <v>32003</v>
      </c>
      <c r="C35" s="771">
        <v>8600</v>
      </c>
      <c r="D35" s="630" t="s">
        <v>920</v>
      </c>
      <c r="E35" s="630" t="s">
        <v>921</v>
      </c>
      <c r="F35" s="630" t="s">
        <v>922</v>
      </c>
      <c r="G35" s="630" t="s">
        <v>923</v>
      </c>
      <c r="H35" s="630" t="s">
        <v>924</v>
      </c>
      <c r="I35" s="630" t="s">
        <v>925</v>
      </c>
      <c r="J35" s="770">
        <v>39340</v>
      </c>
      <c r="K35" s="770">
        <v>40704</v>
      </c>
      <c r="L35" s="630" t="s">
        <v>919</v>
      </c>
      <c r="M35" s="630">
        <v>378</v>
      </c>
      <c r="N35" s="630">
        <v>1701</v>
      </c>
      <c r="O35" s="630">
        <v>0</v>
      </c>
      <c r="P35" s="630">
        <v>0</v>
      </c>
      <c r="Q35" s="630">
        <v>0</v>
      </c>
      <c r="R35" s="630">
        <v>0</v>
      </c>
      <c r="S35" s="630">
        <v>0</v>
      </c>
      <c r="T35" s="630">
        <v>0</v>
      </c>
      <c r="U35" s="630">
        <v>0</v>
      </c>
      <c r="V35" s="630">
        <v>4860</v>
      </c>
      <c r="W35" s="630">
        <v>0</v>
      </c>
      <c r="X35" s="630">
        <v>10</v>
      </c>
      <c r="Y35" s="630" t="s">
        <v>111</v>
      </c>
      <c r="Z35" s="631" t="s">
        <v>111</v>
      </c>
    </row>
    <row r="36" spans="1:27" s="596" customFormat="1" ht="38.25">
      <c r="A36" s="582"/>
      <c r="B36" s="771">
        <v>32003</v>
      </c>
      <c r="C36" s="771">
        <v>8600</v>
      </c>
      <c r="D36" s="630" t="s">
        <v>926</v>
      </c>
      <c r="E36" s="630" t="s">
        <v>927</v>
      </c>
      <c r="F36" s="630" t="s">
        <v>928</v>
      </c>
      <c r="G36" s="630" t="s">
        <v>929</v>
      </c>
      <c r="H36" s="630" t="s">
        <v>930</v>
      </c>
      <c r="I36" s="630" t="s">
        <v>927</v>
      </c>
      <c r="J36" s="770">
        <v>40274</v>
      </c>
      <c r="K36" s="770">
        <v>40274</v>
      </c>
      <c r="L36" s="630" t="s">
        <v>931</v>
      </c>
      <c r="M36" s="630">
        <v>32</v>
      </c>
      <c r="N36" s="630">
        <v>144</v>
      </c>
      <c r="O36" s="630">
        <v>0</v>
      </c>
      <c r="P36" s="630">
        <v>0</v>
      </c>
      <c r="Q36" s="630">
        <v>0</v>
      </c>
      <c r="R36" s="630">
        <v>0</v>
      </c>
      <c r="S36" s="630">
        <v>0</v>
      </c>
      <c r="T36" s="630">
        <v>0</v>
      </c>
      <c r="U36" s="630">
        <v>0</v>
      </c>
      <c r="V36" s="630">
        <v>360</v>
      </c>
      <c r="W36" s="630">
        <v>0</v>
      </c>
      <c r="X36" s="630">
        <v>10</v>
      </c>
      <c r="Y36" s="630" t="s">
        <v>111</v>
      </c>
      <c r="Z36" s="631" t="s">
        <v>111</v>
      </c>
    </row>
    <row r="37" spans="1:27" s="565" customFormat="1">
      <c r="A37" s="583" t="s">
        <v>279</v>
      </c>
      <c r="B37" s="584"/>
      <c r="C37" s="584"/>
      <c r="D37" s="584"/>
      <c r="E37" s="584"/>
      <c r="F37" s="584"/>
      <c r="G37" s="584"/>
      <c r="H37" s="584"/>
      <c r="I37" s="584"/>
      <c r="J37" s="584"/>
      <c r="K37" s="584"/>
      <c r="L37" s="585"/>
      <c r="M37" s="585">
        <f>SUM(M35:M36)</f>
        <v>410</v>
      </c>
      <c r="N37" s="585">
        <f>SUM(N35:N36)</f>
        <v>1845</v>
      </c>
      <c r="O37" s="585">
        <f>SUM(O35:O36)</f>
        <v>0</v>
      </c>
      <c r="P37" s="585">
        <f>SUM(P35:P36)</f>
        <v>0</v>
      </c>
      <c r="Q37" s="585">
        <f>SUM(Q35:Q36)</f>
        <v>0</v>
      </c>
      <c r="R37" s="585">
        <f>SUM(R35:R36)</f>
        <v>0</v>
      </c>
      <c r="S37" s="585">
        <f>SUM(S35:S36)</f>
        <v>0</v>
      </c>
      <c r="T37" s="585">
        <f>SUM(T35:T36)</f>
        <v>0</v>
      </c>
      <c r="U37" s="585">
        <f>SUM(U35:U36)</f>
        <v>0</v>
      </c>
      <c r="V37" s="585">
        <f>SUM(V35:V36)</f>
        <v>5220</v>
      </c>
      <c r="W37" s="585">
        <f>SUM(W35:W36)</f>
        <v>0</v>
      </c>
      <c r="X37" s="586"/>
      <c r="Y37" s="586"/>
      <c r="Z37" s="587"/>
    </row>
    <row r="38" spans="1:27" s="565" customFormat="1">
      <c r="A38" s="583" t="s">
        <v>286</v>
      </c>
      <c r="B38" s="584"/>
      <c r="C38" s="584"/>
      <c r="D38" s="584"/>
      <c r="E38" s="584"/>
      <c r="F38" s="584"/>
      <c r="G38" s="584"/>
      <c r="H38" s="584"/>
      <c r="I38" s="584"/>
      <c r="J38" s="584"/>
      <c r="K38" s="584"/>
      <c r="L38" s="585"/>
      <c r="M38" s="585">
        <f>SUMIF($Z$35:$Z$36,"industrie",M35:M36)</f>
        <v>0</v>
      </c>
      <c r="N38" s="585">
        <f>SUMIF($Z$35:$Z$36,"industrie",N35:N36)</f>
        <v>0</v>
      </c>
      <c r="O38" s="585">
        <f>SUMIF($Z$35:$Z$36,"industrie",O35:O36)</f>
        <v>0</v>
      </c>
      <c r="P38" s="585">
        <f>SUMIF($Z$35:$Z$36,"industrie",P35:P36)</f>
        <v>0</v>
      </c>
      <c r="Q38" s="585">
        <f>SUMIF($Z$35:$Z$36,"industrie",Q35:Q36)</f>
        <v>0</v>
      </c>
      <c r="R38" s="585">
        <f>SUMIF($Z$35:$Z$36,"industrie",R35:R36)</f>
        <v>0</v>
      </c>
      <c r="S38" s="585">
        <f>SUMIF($Z$35:$Z$36,"industrie",S35:S36)</f>
        <v>0</v>
      </c>
      <c r="T38" s="585">
        <f>SUMIF($Z$35:$Z$36,"industrie",T35:T36)</f>
        <v>0</v>
      </c>
      <c r="U38" s="585">
        <f>SUMIF($Z$35:$Z$36,"industrie",U35:U36)</f>
        <v>0</v>
      </c>
      <c r="V38" s="585">
        <f>SUMIF($Z$35:$Z$36,"industrie",V35:V36)</f>
        <v>0</v>
      </c>
      <c r="W38" s="585">
        <f>SUMIF($Z$35:$Z$36,"industrie",W35:W36)</f>
        <v>0</v>
      </c>
      <c r="X38" s="586"/>
      <c r="Y38" s="586"/>
      <c r="Z38" s="587"/>
    </row>
    <row r="39" spans="1:27" s="565" customFormat="1">
      <c r="A39" s="583" t="s">
        <v>287</v>
      </c>
      <c r="B39" s="584"/>
      <c r="C39" s="584"/>
      <c r="D39" s="584"/>
      <c r="E39" s="584"/>
      <c r="F39" s="584"/>
      <c r="G39" s="584"/>
      <c r="H39" s="584"/>
      <c r="I39" s="584"/>
      <c r="J39" s="584"/>
      <c r="K39" s="584"/>
      <c r="L39" s="585"/>
      <c r="M39" s="585">
        <f>SUMIF($Z$35:$Z$37,"tertiair",M35:M37)</f>
        <v>0</v>
      </c>
      <c r="N39" s="585">
        <f>SUMIF($Z$35:$Z$37,"tertiair",N35:N37)</f>
        <v>0</v>
      </c>
      <c r="O39" s="585">
        <f>SUMIF($Z$35:$Z$37,"tertiair",O35:O37)</f>
        <v>0</v>
      </c>
      <c r="P39" s="585">
        <f>SUMIF($Z$35:$Z$37,"tertiair",P35:P37)</f>
        <v>0</v>
      </c>
      <c r="Q39" s="585">
        <f>SUMIF($Z$35:$Z$37,"tertiair",Q35:Q37)</f>
        <v>0</v>
      </c>
      <c r="R39" s="585">
        <f>SUMIF($Z$35:$Z$37,"tertiair",R35:R37)</f>
        <v>0</v>
      </c>
      <c r="S39" s="585">
        <f>SUMIF($Z$35:$Z$37,"tertiair",S35:S37)</f>
        <v>0</v>
      </c>
      <c r="T39" s="585">
        <f>SUMIF($Z$35:$Z$37,"tertiair",T35:T37)</f>
        <v>0</v>
      </c>
      <c r="U39" s="585">
        <f>SUMIF($Z$35:$Z$37,"tertiair",U35:U37)</f>
        <v>0</v>
      </c>
      <c r="V39" s="585">
        <f>SUMIF($Z$35:$Z$37,"tertiair",V35:V37)</f>
        <v>0</v>
      </c>
      <c r="W39" s="585">
        <f>SUMIF($Z$35:$Z$37,"tertiair",W35:W37)</f>
        <v>0</v>
      </c>
      <c r="X39" s="586"/>
      <c r="Y39" s="586"/>
      <c r="Z39" s="587"/>
    </row>
    <row r="40" spans="1:27" s="565" customFormat="1" ht="15.75" thickBot="1">
      <c r="A40" s="588" t="s">
        <v>288</v>
      </c>
      <c r="B40" s="589"/>
      <c r="C40" s="589"/>
      <c r="D40" s="589"/>
      <c r="E40" s="589"/>
      <c r="F40" s="589"/>
      <c r="G40" s="589"/>
      <c r="H40" s="589"/>
      <c r="I40" s="589"/>
      <c r="J40" s="589"/>
      <c r="K40" s="589"/>
      <c r="L40" s="590"/>
      <c r="M40" s="590">
        <f>SUMIF($Z$35:$Z$38,"landbouw",M35:M38)</f>
        <v>410</v>
      </c>
      <c r="N40" s="590">
        <f>SUMIF($Z$35:$Z$38,"landbouw",N35:N38)</f>
        <v>1845</v>
      </c>
      <c r="O40" s="590">
        <f>SUMIF($Z$35:$Z$38,"landbouw",O35:O38)</f>
        <v>0</v>
      </c>
      <c r="P40" s="590">
        <f>SUMIF($Z$35:$Z$38,"landbouw",P35:P38)</f>
        <v>0</v>
      </c>
      <c r="Q40" s="590">
        <f>SUMIF($Z$35:$Z$38,"landbouw",Q35:Q38)</f>
        <v>0</v>
      </c>
      <c r="R40" s="590">
        <f>SUMIF($Z$35:$Z$38,"landbouw",R35:R38)</f>
        <v>0</v>
      </c>
      <c r="S40" s="590">
        <f>SUMIF($Z$35:$Z$38,"landbouw",S35:S38)</f>
        <v>0</v>
      </c>
      <c r="T40" s="590">
        <f>SUMIF($Z$35:$Z$38,"landbouw",T35:T38)</f>
        <v>0</v>
      </c>
      <c r="U40" s="590">
        <f>SUMIF($Z$35:$Z$38,"landbouw",U35:U38)</f>
        <v>0</v>
      </c>
      <c r="V40" s="590">
        <f>SUMIF($Z$35:$Z$38,"landbouw",V35:V38)</f>
        <v>5220</v>
      </c>
      <c r="W40" s="590">
        <f>SUMIF($Z$35:$Z$38,"landbouw",W35:W38)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IF(ISERROR(O29/(O29+N29)),0,O29/(O29+N29))</f>
        <v>0.58823529411764708</v>
      </c>
      <c r="C46" s="610">
        <f>IF(ISERROR(N29/(O29+N29)),0,N29/(N29+O29))</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$C$46*P29</f>
        <v>0</v>
      </c>
      <c r="C49" s="619">
        <f t="shared" si="2"/>
        <v>51.35294117647058</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$B$46*P29</f>
        <v>0</v>
      </c>
      <c r="C50" s="622">
        <f t="shared" si="3"/>
        <v>73.361344537815114</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29267.14656704956</v>
      </c>
      <c r="C4" s="452">
        <f>huishoudens!C8</f>
        <v>0</v>
      </c>
      <c r="D4" s="452">
        <f>huishoudens!D8</f>
        <v>59368.418691999992</v>
      </c>
      <c r="E4" s="452">
        <f>huishoudens!E8</f>
        <v>37689.615996123393</v>
      </c>
      <c r="F4" s="452">
        <f>huishoudens!F8</f>
        <v>9729.7314229239055</v>
      </c>
      <c r="G4" s="452">
        <f>huishoudens!G8</f>
        <v>0</v>
      </c>
      <c r="H4" s="452">
        <f>huishoudens!H8</f>
        <v>0</v>
      </c>
      <c r="I4" s="452">
        <f>huishoudens!I8</f>
        <v>0</v>
      </c>
      <c r="J4" s="452">
        <f>huishoudens!J8</f>
        <v>2928.1702019085938</v>
      </c>
      <c r="K4" s="452">
        <f>huishoudens!K8</f>
        <v>0</v>
      </c>
      <c r="L4" s="452">
        <f>huishoudens!L8</f>
        <v>0</v>
      </c>
      <c r="M4" s="452">
        <f>huishoudens!M8</f>
        <v>0</v>
      </c>
      <c r="N4" s="452">
        <f>huishoudens!N8</f>
        <v>23223.248164072804</v>
      </c>
      <c r="O4" s="452">
        <f>huishoudens!O8</f>
        <v>245.44333333333333</v>
      </c>
      <c r="P4" s="453">
        <f>huishoudens!P8</f>
        <v>514.79999999999995</v>
      </c>
      <c r="Q4" s="454">
        <f>SUM(B4:P4)</f>
        <v>162966.57437741157</v>
      </c>
    </row>
    <row r="5" spans="1:17">
      <c r="A5" s="451" t="s">
        <v>155</v>
      </c>
      <c r="B5" s="452">
        <f ca="1">tertiair!B16</f>
        <v>29180.567971960856</v>
      </c>
      <c r="C5" s="452">
        <f ca="1">tertiair!C16</f>
        <v>0</v>
      </c>
      <c r="D5" s="452">
        <f ca="1">tertiair!D16</f>
        <v>18704.029849999999</v>
      </c>
      <c r="E5" s="452">
        <f>tertiair!E16</f>
        <v>263.27092774032155</v>
      </c>
      <c r="F5" s="452">
        <f ca="1">tertiair!F16</f>
        <v>4956.8055252030945</v>
      </c>
      <c r="G5" s="452">
        <f>tertiair!G16</f>
        <v>0</v>
      </c>
      <c r="H5" s="452">
        <f>tertiair!H16</f>
        <v>0</v>
      </c>
      <c r="I5" s="452">
        <f>tertiair!I16</f>
        <v>0</v>
      </c>
      <c r="J5" s="452">
        <f>tertiair!J16</f>
        <v>0</v>
      </c>
      <c r="K5" s="452">
        <f>tertiair!K16</f>
        <v>0</v>
      </c>
      <c r="L5" s="452">
        <f ca="1">tertiair!L16</f>
        <v>0</v>
      </c>
      <c r="M5" s="452">
        <f>tertiair!M16</f>
        <v>0</v>
      </c>
      <c r="N5" s="452">
        <f ca="1">tertiair!N16</f>
        <v>7024.8163180948732</v>
      </c>
      <c r="O5" s="452">
        <f>tertiair!O16</f>
        <v>3.1266666666666669</v>
      </c>
      <c r="P5" s="453">
        <f>tertiair!P16</f>
        <v>19.066666666666666</v>
      </c>
      <c r="Q5" s="451">
        <f t="shared" ref="Q5:Q14" ca="1" si="0">SUM(B5:P5)</f>
        <v>60151.683926332473</v>
      </c>
    </row>
    <row r="6" spans="1:17">
      <c r="A6" s="451" t="s">
        <v>193</v>
      </c>
      <c r="B6" s="452">
        <f>'openbare verlichting'!B8</f>
        <v>1334.204</v>
      </c>
      <c r="C6" s="452"/>
      <c r="D6" s="452"/>
      <c r="E6" s="452"/>
      <c r="F6" s="452"/>
      <c r="G6" s="452"/>
      <c r="H6" s="452"/>
      <c r="I6" s="452"/>
      <c r="J6" s="452"/>
      <c r="K6" s="452"/>
      <c r="L6" s="452"/>
      <c r="M6" s="452"/>
      <c r="N6" s="452"/>
      <c r="O6" s="452"/>
      <c r="P6" s="453"/>
      <c r="Q6" s="451">
        <f t="shared" si="0"/>
        <v>1334.204</v>
      </c>
    </row>
    <row r="7" spans="1:17">
      <c r="A7" s="451" t="s">
        <v>111</v>
      </c>
      <c r="B7" s="452">
        <f>landbouw!B8</f>
        <v>9523.4451253405987</v>
      </c>
      <c r="C7" s="452">
        <f>landbouw!C8</f>
        <v>62.357142857142847</v>
      </c>
      <c r="D7" s="452">
        <f>landbouw!D8</f>
        <v>904.50485400000002</v>
      </c>
      <c r="E7" s="452">
        <f>landbouw!E8</f>
        <v>88.210137536379946</v>
      </c>
      <c r="F7" s="452">
        <f>landbouw!F8</f>
        <v>24162.794497423693</v>
      </c>
      <c r="G7" s="452">
        <f>landbouw!G8</f>
        <v>0</v>
      </c>
      <c r="H7" s="452">
        <f>landbouw!H8</f>
        <v>0</v>
      </c>
      <c r="I7" s="452">
        <f>landbouw!I8</f>
        <v>0</v>
      </c>
      <c r="J7" s="452">
        <f>landbouw!J8</f>
        <v>1460.0504196725067</v>
      </c>
      <c r="K7" s="452">
        <f>landbouw!K8</f>
        <v>0</v>
      </c>
      <c r="L7" s="452">
        <f>landbouw!L8</f>
        <v>0</v>
      </c>
      <c r="M7" s="452">
        <f>landbouw!M8</f>
        <v>0</v>
      </c>
      <c r="N7" s="452">
        <f>landbouw!N8</f>
        <v>0</v>
      </c>
      <c r="O7" s="452">
        <f>landbouw!O8</f>
        <v>0</v>
      </c>
      <c r="P7" s="453">
        <f>landbouw!P8</f>
        <v>0</v>
      </c>
      <c r="Q7" s="451">
        <f t="shared" si="0"/>
        <v>36201.362176830327</v>
      </c>
    </row>
    <row r="8" spans="1:17">
      <c r="A8" s="451" t="s">
        <v>649</v>
      </c>
      <c r="B8" s="452">
        <f>industrie!B18</f>
        <v>18907.457999999999</v>
      </c>
      <c r="C8" s="452">
        <f>industrie!C18</f>
        <v>0</v>
      </c>
      <c r="D8" s="452">
        <f>industrie!D18</f>
        <v>11136.847875999998</v>
      </c>
      <c r="E8" s="452">
        <f>industrie!E18</f>
        <v>2963.8214864280121</v>
      </c>
      <c r="F8" s="452">
        <f>industrie!F18</f>
        <v>18943.30596280055</v>
      </c>
      <c r="G8" s="452">
        <f>industrie!G18</f>
        <v>0</v>
      </c>
      <c r="H8" s="452">
        <f>industrie!H18</f>
        <v>0</v>
      </c>
      <c r="I8" s="452">
        <f>industrie!I18</f>
        <v>0</v>
      </c>
      <c r="J8" s="452">
        <f>industrie!J18</f>
        <v>126.46700191062672</v>
      </c>
      <c r="K8" s="452">
        <f>industrie!K18</f>
        <v>0</v>
      </c>
      <c r="L8" s="452">
        <f>industrie!L18</f>
        <v>0</v>
      </c>
      <c r="M8" s="452">
        <f>industrie!M18</f>
        <v>0</v>
      </c>
      <c r="N8" s="452">
        <f>industrie!N18</f>
        <v>3695.3544700905977</v>
      </c>
      <c r="O8" s="452">
        <f>industrie!O18</f>
        <v>0</v>
      </c>
      <c r="P8" s="453">
        <f>industrie!P18</f>
        <v>0</v>
      </c>
      <c r="Q8" s="451">
        <f t="shared" si="0"/>
        <v>55773.254797229783</v>
      </c>
    </row>
    <row r="9" spans="1:17" s="457" customFormat="1">
      <c r="A9" s="455" t="s">
        <v>570</v>
      </c>
      <c r="B9" s="456">
        <f>transport!B14</f>
        <v>16.853269797255013</v>
      </c>
      <c r="C9" s="456">
        <f>transport!C14</f>
        <v>0</v>
      </c>
      <c r="D9" s="456">
        <f>transport!D14</f>
        <v>32.518179643213507</v>
      </c>
      <c r="E9" s="456">
        <f>transport!E14</f>
        <v>311.07091376824008</v>
      </c>
      <c r="F9" s="456">
        <f>transport!F14</f>
        <v>0</v>
      </c>
      <c r="G9" s="456">
        <f>transport!G14</f>
        <v>106518.34854874808</v>
      </c>
      <c r="H9" s="456">
        <f>transport!H14</f>
        <v>19756.899737391857</v>
      </c>
      <c r="I9" s="456">
        <f>transport!I14</f>
        <v>0</v>
      </c>
      <c r="J9" s="456">
        <f>transport!J14</f>
        <v>0</v>
      </c>
      <c r="K9" s="456">
        <f>transport!K14</f>
        <v>0</v>
      </c>
      <c r="L9" s="456">
        <f>transport!L14</f>
        <v>0</v>
      </c>
      <c r="M9" s="456">
        <f>transport!M14</f>
        <v>6778.272474598748</v>
      </c>
      <c r="N9" s="456">
        <f>transport!N14</f>
        <v>0</v>
      </c>
      <c r="O9" s="456">
        <f>transport!O14</f>
        <v>0</v>
      </c>
      <c r="P9" s="456">
        <f>transport!P14</f>
        <v>0</v>
      </c>
      <c r="Q9" s="455">
        <f>SUM(B9:P9)</f>
        <v>133413.96312394738</v>
      </c>
    </row>
    <row r="10" spans="1:17">
      <c r="A10" s="451" t="s">
        <v>560</v>
      </c>
      <c r="B10" s="452">
        <f>transport!B54</f>
        <v>0</v>
      </c>
      <c r="C10" s="452">
        <f>transport!C54</f>
        <v>0</v>
      </c>
      <c r="D10" s="452">
        <f>transport!D54</f>
        <v>0</v>
      </c>
      <c r="E10" s="452">
        <f>transport!E54</f>
        <v>0</v>
      </c>
      <c r="F10" s="452">
        <f>transport!F54</f>
        <v>0</v>
      </c>
      <c r="G10" s="452">
        <f>transport!G54</f>
        <v>1865.3504919095546</v>
      </c>
      <c r="H10" s="452">
        <f>transport!H54</f>
        <v>0</v>
      </c>
      <c r="I10" s="452">
        <f>transport!I54</f>
        <v>0</v>
      </c>
      <c r="J10" s="452">
        <f>transport!J54</f>
        <v>0</v>
      </c>
      <c r="K10" s="452">
        <f>transport!K54</f>
        <v>0</v>
      </c>
      <c r="L10" s="452">
        <f>transport!L54</f>
        <v>0</v>
      </c>
      <c r="M10" s="452">
        <f>transport!M54</f>
        <v>106.61775653554155</v>
      </c>
      <c r="N10" s="452">
        <f>transport!N54</f>
        <v>0</v>
      </c>
      <c r="O10" s="452">
        <f>transport!O54</f>
        <v>0</v>
      </c>
      <c r="P10" s="453">
        <f>transport!P54</f>
        <v>0</v>
      </c>
      <c r="Q10" s="451">
        <f t="shared" si="0"/>
        <v>1971.9682484450962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576.41399999999999</v>
      </c>
      <c r="C14" s="459"/>
      <c r="D14" s="459">
        <f>'SEAP template'!E25</f>
        <v>978.19</v>
      </c>
      <c r="E14" s="459"/>
      <c r="F14" s="459"/>
      <c r="G14" s="459"/>
      <c r="H14" s="459"/>
      <c r="I14" s="459"/>
      <c r="J14" s="459"/>
      <c r="K14" s="459"/>
      <c r="L14" s="459"/>
      <c r="M14" s="459"/>
      <c r="N14" s="459"/>
      <c r="O14" s="459"/>
      <c r="P14" s="460"/>
      <c r="Q14" s="451">
        <f t="shared" si="0"/>
        <v>1554.604</v>
      </c>
    </row>
    <row r="15" spans="1:17" s="461" customFormat="1">
      <c r="A15" s="1017" t="s">
        <v>564</v>
      </c>
      <c r="B15" s="957">
        <f ca="1">SUM(B4:B14)</f>
        <v>88806.088934148269</v>
      </c>
      <c r="C15" s="957">
        <f t="shared" ref="C15:Q15" ca="1" si="1">SUM(C4:C14)</f>
        <v>62.357142857142847</v>
      </c>
      <c r="D15" s="957">
        <f t="shared" ca="1" si="1"/>
        <v>91124.509451643215</v>
      </c>
      <c r="E15" s="957">
        <f t="shared" si="1"/>
        <v>41315.989461596342</v>
      </c>
      <c r="F15" s="957">
        <f t="shared" ca="1" si="1"/>
        <v>57792.637408351242</v>
      </c>
      <c r="G15" s="957">
        <f t="shared" si="1"/>
        <v>108383.69904065764</v>
      </c>
      <c r="H15" s="957">
        <f t="shared" si="1"/>
        <v>19756.899737391857</v>
      </c>
      <c r="I15" s="957">
        <f t="shared" si="1"/>
        <v>0</v>
      </c>
      <c r="J15" s="957">
        <f t="shared" si="1"/>
        <v>4514.6876234917272</v>
      </c>
      <c r="K15" s="957">
        <f t="shared" si="1"/>
        <v>0</v>
      </c>
      <c r="L15" s="957">
        <f t="shared" ca="1" si="1"/>
        <v>0</v>
      </c>
      <c r="M15" s="957">
        <f t="shared" si="1"/>
        <v>6884.8902311342899</v>
      </c>
      <c r="N15" s="957">
        <f t="shared" ca="1" si="1"/>
        <v>33943.418952258275</v>
      </c>
      <c r="O15" s="957">
        <f t="shared" si="1"/>
        <v>248.57</v>
      </c>
      <c r="P15" s="957">
        <f t="shared" si="1"/>
        <v>533.86666666666667</v>
      </c>
      <c r="Q15" s="957">
        <f t="shared" ca="1" si="1"/>
        <v>453367.61465019663</v>
      </c>
    </row>
    <row r="17" spans="1:17">
      <c r="A17" s="462" t="s">
        <v>565</v>
      </c>
      <c r="B17" s="761">
        <f ca="1">huishoudens!B10</f>
        <v>0.18908298952074806</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5533.9195676396293</v>
      </c>
      <c r="C22" s="452">
        <f t="shared" ref="C22:C32" ca="1" si="3">C4*$C$17</f>
        <v>0</v>
      </c>
      <c r="D22" s="452">
        <f t="shared" ref="D22:D32" si="4">D4*$D$17</f>
        <v>11992.420575783999</v>
      </c>
      <c r="E22" s="452">
        <f t="shared" ref="E22:E32" si="5">E4*$E$17</f>
        <v>8555.5428311200103</v>
      </c>
      <c r="F22" s="452">
        <f t="shared" ref="F22:F32" si="6">F4*$F$17</f>
        <v>2597.8382899206831</v>
      </c>
      <c r="G22" s="452">
        <f t="shared" ref="G22:G32" si="7">G4*$G$17</f>
        <v>0</v>
      </c>
      <c r="H22" s="452">
        <f t="shared" ref="H22:H32" si="8">H4*$H$17</f>
        <v>0</v>
      </c>
      <c r="I22" s="452">
        <f t="shared" ref="I22:I32" si="9">I4*$I$17</f>
        <v>0</v>
      </c>
      <c r="J22" s="452">
        <f t="shared" ref="J22:J32" si="10">J4*$J$17</f>
        <v>1036.5722514756421</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29716.293515939964</v>
      </c>
    </row>
    <row r="23" spans="1:17">
      <c r="A23" s="451" t="s">
        <v>155</v>
      </c>
      <c r="B23" s="452">
        <f t="shared" ca="1" si="2"/>
        <v>5517.5490280517515</v>
      </c>
      <c r="C23" s="452">
        <f t="shared" ca="1" si="3"/>
        <v>0</v>
      </c>
      <c r="D23" s="452">
        <f t="shared" ca="1" si="4"/>
        <v>3778.2140297000001</v>
      </c>
      <c r="E23" s="452">
        <f t="shared" si="5"/>
        <v>59.762500597052991</v>
      </c>
      <c r="F23" s="452">
        <f t="shared" ca="1" si="6"/>
        <v>1323.4670752292263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10678.992633578031</v>
      </c>
    </row>
    <row r="24" spans="1:17">
      <c r="A24" s="451" t="s">
        <v>193</v>
      </c>
      <c r="B24" s="452">
        <f t="shared" ca="1" si="2"/>
        <v>252.27528095054015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252.27528095054015</v>
      </c>
    </row>
    <row r="25" spans="1:17">
      <c r="A25" s="451" t="s">
        <v>111</v>
      </c>
      <c r="B25" s="452">
        <f t="shared" ca="1" si="2"/>
        <v>1800.7214748361957</v>
      </c>
      <c r="C25" s="452">
        <f t="shared" ca="1" si="3"/>
        <v>0</v>
      </c>
      <c r="D25" s="452">
        <f t="shared" si="4"/>
        <v>182.70998050800003</v>
      </c>
      <c r="E25" s="452">
        <f t="shared" si="5"/>
        <v>20.023701220758248</v>
      </c>
      <c r="F25" s="452">
        <f t="shared" si="6"/>
        <v>6451.4661308121267</v>
      </c>
      <c r="G25" s="452">
        <f t="shared" si="7"/>
        <v>0</v>
      </c>
      <c r="H25" s="452">
        <f t="shared" si="8"/>
        <v>0</v>
      </c>
      <c r="I25" s="452">
        <f t="shared" si="9"/>
        <v>0</v>
      </c>
      <c r="J25" s="452">
        <f t="shared" si="10"/>
        <v>516.85784856406735</v>
      </c>
      <c r="K25" s="452">
        <f t="shared" si="11"/>
        <v>0</v>
      </c>
      <c r="L25" s="452">
        <f t="shared" si="12"/>
        <v>0</v>
      </c>
      <c r="M25" s="452">
        <f t="shared" si="13"/>
        <v>0</v>
      </c>
      <c r="N25" s="452">
        <f t="shared" si="14"/>
        <v>0</v>
      </c>
      <c r="O25" s="452">
        <f t="shared" si="15"/>
        <v>0</v>
      </c>
      <c r="P25" s="453">
        <f t="shared" si="16"/>
        <v>0</v>
      </c>
      <c r="Q25" s="451">
        <f t="shared" ca="1" si="17"/>
        <v>8971.7791359411494</v>
      </c>
    </row>
    <row r="26" spans="1:17">
      <c r="A26" s="451" t="s">
        <v>649</v>
      </c>
      <c r="B26" s="452">
        <f t="shared" ca="1" si="2"/>
        <v>3575.0786828779837</v>
      </c>
      <c r="C26" s="452">
        <f t="shared" ca="1" si="3"/>
        <v>0</v>
      </c>
      <c r="D26" s="452">
        <f t="shared" si="4"/>
        <v>2249.6432709519995</v>
      </c>
      <c r="E26" s="452">
        <f t="shared" si="5"/>
        <v>672.78747741915879</v>
      </c>
      <c r="F26" s="452">
        <f t="shared" si="6"/>
        <v>5057.862692067747</v>
      </c>
      <c r="G26" s="452">
        <f t="shared" si="7"/>
        <v>0</v>
      </c>
      <c r="H26" s="452">
        <f t="shared" si="8"/>
        <v>0</v>
      </c>
      <c r="I26" s="452">
        <f t="shared" si="9"/>
        <v>0</v>
      </c>
      <c r="J26" s="452">
        <f t="shared" si="10"/>
        <v>44.769318676361856</v>
      </c>
      <c r="K26" s="452">
        <f t="shared" si="11"/>
        <v>0</v>
      </c>
      <c r="L26" s="452">
        <f t="shared" si="12"/>
        <v>0</v>
      </c>
      <c r="M26" s="452">
        <f t="shared" si="13"/>
        <v>0</v>
      </c>
      <c r="N26" s="452">
        <f t="shared" si="14"/>
        <v>0</v>
      </c>
      <c r="O26" s="452">
        <f t="shared" si="15"/>
        <v>0</v>
      </c>
      <c r="P26" s="453">
        <f t="shared" si="16"/>
        <v>0</v>
      </c>
      <c r="Q26" s="451">
        <f t="shared" ca="1" si="17"/>
        <v>11600.141441993252</v>
      </c>
    </row>
    <row r="27" spans="1:17" s="457" customFormat="1">
      <c r="A27" s="455" t="s">
        <v>570</v>
      </c>
      <c r="B27" s="755">
        <f t="shared" ca="1" si="2"/>
        <v>3.1866666364647096</v>
      </c>
      <c r="C27" s="456">
        <f t="shared" ca="1" si="3"/>
        <v>0</v>
      </c>
      <c r="D27" s="456">
        <f t="shared" si="4"/>
        <v>6.5686722879291288</v>
      </c>
      <c r="E27" s="456">
        <f t="shared" si="5"/>
        <v>70.613097425390492</v>
      </c>
      <c r="F27" s="456">
        <f t="shared" si="6"/>
        <v>0</v>
      </c>
      <c r="G27" s="456">
        <f t="shared" si="7"/>
        <v>28440.399062515738</v>
      </c>
      <c r="H27" s="456">
        <f t="shared" si="8"/>
        <v>4919.4680346105724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33440.235533476094</v>
      </c>
    </row>
    <row r="28" spans="1:17">
      <c r="A28" s="451" t="s">
        <v>560</v>
      </c>
      <c r="B28" s="452">
        <f t="shared" ca="1" si="2"/>
        <v>0</v>
      </c>
      <c r="C28" s="452">
        <f t="shared" ca="1" si="3"/>
        <v>0</v>
      </c>
      <c r="D28" s="452">
        <f t="shared" si="4"/>
        <v>0</v>
      </c>
      <c r="E28" s="452">
        <f t="shared" si="5"/>
        <v>0</v>
      </c>
      <c r="F28" s="452">
        <f t="shared" si="6"/>
        <v>0</v>
      </c>
      <c r="G28" s="452">
        <f t="shared" si="7"/>
        <v>498.04858133985113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498.04858133985113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108.99008232161248</v>
      </c>
      <c r="C32" s="452">
        <f t="shared" ca="1" si="3"/>
        <v>0</v>
      </c>
      <c r="D32" s="452">
        <f t="shared" si="4"/>
        <v>197.59438000000003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306.58446232161248</v>
      </c>
    </row>
    <row r="33" spans="1:17" s="461" customFormat="1">
      <c r="A33" s="1017" t="s">
        <v>564</v>
      </c>
      <c r="B33" s="957">
        <f ca="1">SUM(B22:B32)</f>
        <v>16791.720783314177</v>
      </c>
      <c r="C33" s="957">
        <f t="shared" ref="C33:Q33" ca="1" si="18">SUM(C22:C32)</f>
        <v>0</v>
      </c>
      <c r="D33" s="957">
        <f t="shared" ca="1" si="18"/>
        <v>18407.150909231925</v>
      </c>
      <c r="E33" s="957">
        <f t="shared" si="18"/>
        <v>9378.7296077823703</v>
      </c>
      <c r="F33" s="957">
        <f t="shared" ca="1" si="18"/>
        <v>15430.634188029782</v>
      </c>
      <c r="G33" s="957">
        <f t="shared" si="18"/>
        <v>28938.44764385559</v>
      </c>
      <c r="H33" s="957">
        <f t="shared" si="18"/>
        <v>4919.4680346105724</v>
      </c>
      <c r="I33" s="957">
        <f t="shared" si="18"/>
        <v>0</v>
      </c>
      <c r="J33" s="957">
        <f t="shared" si="18"/>
        <v>1598.1994187160712</v>
      </c>
      <c r="K33" s="957">
        <f t="shared" si="18"/>
        <v>0</v>
      </c>
      <c r="L33" s="957">
        <f t="shared" ca="1" si="18"/>
        <v>0</v>
      </c>
      <c r="M33" s="957">
        <f t="shared" si="18"/>
        <v>0</v>
      </c>
      <c r="N33" s="957">
        <f t="shared" ca="1" si="18"/>
        <v>0</v>
      </c>
      <c r="O33" s="957">
        <f t="shared" si="18"/>
        <v>0</v>
      </c>
      <c r="P33" s="957">
        <f t="shared" si="18"/>
        <v>0</v>
      </c>
      <c r="Q33" s="957">
        <f t="shared" ca="1" si="18"/>
        <v>95464.350585540495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2803.1050047492131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8133.6969008281139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1845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5220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12825.451905577327</v>
      </c>
      <c r="C10" s="1038">
        <f>SUM(C4:C9)</f>
        <v>0</v>
      </c>
      <c r="D10" s="1038">
        <f t="shared" ref="D10:H10" si="0">SUM(D8:D9)</f>
        <v>0</v>
      </c>
      <c r="E10" s="1038">
        <f t="shared" si="0"/>
        <v>0</v>
      </c>
      <c r="F10" s="1038">
        <f t="shared" si="0"/>
        <v>0</v>
      </c>
      <c r="G10" s="1038">
        <f t="shared" si="0"/>
        <v>0</v>
      </c>
      <c r="H10" s="1038">
        <f t="shared" si="0"/>
        <v>0</v>
      </c>
      <c r="I10" s="1038">
        <f>SUM(I8:I9)</f>
        <v>0</v>
      </c>
      <c r="J10" s="1038">
        <f>SUM(J8:J9)</f>
        <v>5271.3529411764703</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0.18908298952074806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0.18908298952074806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2020-06-20T16:06:52Z</dcterms:modified>
</cp:coreProperties>
</file>