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P4" i="48"/>
  <c r="P22" i="48" s="1"/>
  <c r="Q11" i="14"/>
  <c r="J15" i="16"/>
  <c r="B7" i="48"/>
  <c r="C24" i="14"/>
  <c r="C26" i="14" s="1"/>
  <c r="B4" i="48"/>
  <c r="C11" i="14"/>
  <c r="D4" i="48"/>
  <c r="D22" i="48" s="1"/>
  <c r="E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B48" i="13" s="1"/>
  <c r="C48" i="13" s="1"/>
  <c r="N5" i="13" s="1"/>
  <c r="N8" i="13" s="1"/>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C50" i="13"/>
  <c r="J5" i="13" s="1"/>
  <c r="J8" i="13" s="1"/>
  <c r="O22" i="16" l="1"/>
  <c r="P43" i="14" s="1"/>
  <c r="O8" i="48"/>
  <c r="O26" i="48" s="1"/>
  <c r="P13" i="14"/>
  <c r="E7" i="48"/>
  <c r="E25" i="48" s="1"/>
  <c r="F24" i="14"/>
  <c r="F26" i="14"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<sst xmlns="http://schemas.openxmlformats.org/spreadsheetml/2006/main" count="2434" uniqueCount="913">
  <si>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</si>
  <si>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</si>
  <si>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</si>
  <si>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</si>
  <si>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</si>
  <si>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</si>
  <si>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</si>
  <si>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</si>
  <si>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</si>
  <si>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</si>
  <si>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</si>
  <si>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</si>
  <si>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</si>
  <si>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</si>
  <si>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</si>
  <si>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</si>
  <si>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</si>
  <si>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</si>
  <si>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</si>
  <si>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</si>
  <si>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</si>
  <si>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</si>
  <si>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</si>
  <si>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</si>
  <si>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</si>
  <si>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</si>
  <si>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</si>
  <si>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</si>
  <si>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</si>
  <si>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</si>
  <si>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</si>
  <si>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</si>
  <si>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</si>
  <si>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</si>
  <si>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</si>
  <si>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</si>
  <si>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</si>
  <si>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</si>
  <si>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</si>
  <si>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</si>
  <si>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</si>
  <si>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</si>
  <si>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</si>
  <si>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</si>
  <si>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</si>
  <si>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</si>
  <si>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</si>
  <si>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</si>
  <si>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</si>
  <si>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</si>
  <si>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</si>
  <si>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</si>
  <si>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</si>
  <si>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</si>
  <si>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</si>
  <si>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</si>
  <si>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</si>
  <si>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</si>
  <si>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</si>
  <si>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</si>
  <si>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</si>
  <si>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</si>
  <si>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</si>
  <si>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</si>
  <si>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</si>
  <si>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</si>
  <si>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</si>
  <si>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</si>
  <si>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</si>
  <si>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</si>
  <si>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</si>
  <si>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</si>
  <si>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</si>
  <si>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</si>
  <si>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</si>
  <si>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</si>
  <si>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</si>
  <si>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</si>
  <si>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</si>
  <si>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</si>
  <si>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</si>
  <si>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</si>
  <si>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</si>
  <si>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</si>
  <si>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</si>
  <si>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</si>
  <si>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</si>
  <si>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</si>
  <si>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</si>
  <si>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</si>
  <si>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</si>
  <si>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</si>
  <si>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</si>
  <si>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</si>
  <si>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</si>
  <si>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</si>
  <si>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</si>
  <si>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</si>
  <si>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</si>
  <si>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</si>
  <si>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</si>
  <si>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</si>
  <si>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</si>
  <si>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</si>
  <si>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</si>
  <si>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</si>
  <si>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</si>
  <si>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</si>
  <si>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</si>
  <si>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</si>
  <si>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</si>
  <si>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</si>
  <si>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</si>
  <si>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</si>
  <si>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</si>
  <si>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</si>
  <si>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</si>
  <si>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</si>
  <si>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</si>
  <si>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</si>
  <si>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</si>
  <si>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</si>
  <si>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</si>
  <si>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</si>
  <si>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</si>
  <si>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</si>
  <si>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</si>
  <si>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</si>
  <si>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</si>
  <si>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</si>
  <si>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</si>
  <si>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</si>
  <si>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</si>
  <si>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</si>
  <si>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</si>
  <si>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</si>
  <si>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</si>
  <si>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</si>
  <si>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</si>
  <si>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</si>
  <si>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</si>
  <si>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</si>
  <si>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</si>
  <si>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</si>
  <si>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</si>
  <si>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</si>
  <si>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</si>
  <si>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</si>
  <si>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</si>
  <si>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</si>
  <si>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</si>
  <si>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</si>
  <si>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</si>
  <si>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</si>
  <si>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</si>
  <si>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</si>
  <si>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</si>
  <si>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</si>
  <si>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</si>
  <si>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</si>
  <si>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</si>
  <si>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</si>
  <si>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</si>
  <si>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</si>
  <si>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</si>
  <si>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</si>
  <si>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</si>
  <si>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</si>
  <si>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</si>
  <si>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</si>
  <si>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</si>
  <si>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</si>
  <si>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</si>
  <si>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</si>
  <si>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</si>
  <si>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</si>
  <si>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</si>
  <si>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</si>
  <si>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</si>
  <si>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</si>
  <si>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</si>
  <si>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</si>
  <si>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</si>
  <si>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</si>
  <si>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</si>
  <si>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</si>
  <si>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</si>
  <si>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</si>
  <si>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</si>
  <si>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</si>
  <si>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</si>
  <si>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</si>
  <si>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</si>
  <si>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</si>
  <si>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</si>
  <si>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</si>
  <si>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</si>
  <si>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</si>
  <si>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</si>
  <si>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</si>
  <si>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</si>
  <si>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</si>
  <si>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</si>
  <si>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</si>
  <si>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</si>
  <si>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</si>
  <si>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</si>
  <si>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</si>
  <si>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</si>
  <si>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</si>
  <si>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</si>
  <si>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</si>
  <si>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</si>
  <si>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</si>
  <si>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</si>
  <si>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</si>
  <si>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</si>
  <si>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</si>
  <si>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</si>
  <si>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</si>
  <si>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</si>
  <si>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</si>
  <si>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</si>
  <si>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</si>
  <si>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</si>
  <si>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</si>
  <si>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</si>
  <si>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</si>
  <si>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</si>
  <si>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</si>
  <si>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</si>
  <si>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</si>
  <si>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</si>
  <si>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</si>
  <si>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</si>
  <si>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</si>
  <si>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</si>
  <si>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</si>
  <si>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</si>
  <si>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</si>
  <si>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</si>
  <si>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</si>
  <si>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</si>
  <si>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</si>
  <si>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</si>
  <si>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</si>
  <si>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</si>
  <si>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</si>
  <si>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</si>
  <si>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</si>
  <si>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</si>
  <si>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</si>
  <si>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</si>
  <si>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</si>
  <si>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</si>
  <si>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</si>
  <si>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</si>
  <si>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</si>
  <si>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</si>
  <si>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</si>
  <si>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</si>
  <si>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</si>
  <si>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</si>
  <si>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</si>
  <si>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</si>
  <si>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</si>
  <si>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</si>
  <si>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</si>
  <si>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</si>
  <si>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</si>
  <si>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</si>
  <si>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</si>
  <si>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</si>
  <si>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</si>
  <si>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</si>
  <si>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</si>
  <si>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</si>
  <si>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</si>
  <si>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</si>
  <si>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</si>
  <si>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</si>
  <si>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</si>
  <si>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</si>
  <si>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</si>
  <si>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</si>
  <si>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</si>
  <si>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</si>
  <si>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</si>
  <si>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</si>
  <si>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</si>
  <si>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</si>
  <si>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</si>
  <si>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</si>
  <si>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</si>
  <si>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</si>
  <si>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</si>
  <si>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</si>
  <si>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</si>
  <si>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</si>
  <si>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</si>
  <si>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</si>
  <si>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</si>
  <si>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</si>
  <si>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</si>
  <si>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</si>
  <si>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</si>
  <si>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</si>
  <si>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</si>
  <si>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</si>
  <si>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</si>
  <si>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</si>
  <si>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</si>
  <si>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</si>
  <si>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</si>
  <si>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</si>
  <si>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</si>
  <si>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</si>
  <si>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</si>
  <si>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</si>
  <si>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</si>
  <si>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</si>
  <si>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</si>
  <si>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</si>
  <si>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</si>
  <si>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</si>
  <si>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</si>
  <si>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</si>
  <si>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</si>
  <si>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</si>
  <si>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</si>
  <si>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</si>
  <si>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</si>
  <si>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</si>
  <si>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</si>
  <si>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</si>
  <si>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</si>
  <si>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</si>
  <si>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</si>
  <si>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</si>
  <si>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</si>
  <si>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</si>
  <si>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</si>
  <si>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</si>
  <si>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</si>
  <si>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</si>
  <si>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</si>
  <si>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</si>
  <si>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</si>
  <si>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</si>
  <si>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</si>
  <si>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</si>
  <si>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</si>
  <si>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</si>
  <si>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</si>
  <si>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</si>
  <si>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</si>
  <si>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</si>
  <si>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</si>
  <si>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</si>
  <si>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</si>
  <si>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</si>
  <si>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</si>
  <si>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</si>
  <si>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</si>
  <si>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</si>
  <si>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</si>
  <si>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</si>
  <si>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</si>
  <si>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</si>
  <si>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</si>
  <si>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</si>
  <si>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</si>
  <si>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</si>
  <si>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</si>
  <si>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</si>
  <si>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</si>
  <si>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</si>
  <si>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</si>
  <si>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</si>
  <si>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</si>
  <si>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</si>
  <si>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</si>
  <si>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</si>
  <si>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</si>
  <si>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</si>
  <si>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</si>
  <si>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</si>
  <si>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</si>
  <si>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</si>
  <si>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</si>
  <si>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</si>
  <si>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</si>
  <si>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</si>
  <si>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</si>
  <si>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</si>
  <si>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</si>
  <si>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</si>
  <si>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</si>
  <si>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</si>
  <si>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</si>
  <si>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</si>
  <si>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</si>
  <si>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</si>
  <si>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</si>
  <si>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</si>
  <si>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</si>
  <si>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</si>
  <si>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</si>
  <si>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</si>
  <si>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</si>
  <si>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</si>
  <si>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</si>
  <si>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</si>
  <si>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</si>
  <si>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</si>
  <si>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</si>
  <si>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</si>
  <si>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</si>
  <si>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</si>
  <si>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</si>
  <si>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</si>
  <si>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</si>
  <si>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</si>
  <si>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</si>
  <si>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</si>
  <si>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</si>
  <si>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</si>
  <si>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</si>
  <si>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</si>
  <si>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</si>
  <si>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</si>
  <si>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</si>
  <si>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</si>
  <si>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</si>
  <si>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</si>
  <si>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</si>
  <si>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</si>
  <si>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</si>
  <si>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</si>
  <si>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</si>
  <si>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</si>
  <si>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</si>
  <si>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</si>
  <si>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</si>
  <si>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</si>
  <si>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</si>
  <si>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</si>
  <si>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</si>
  <si>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</si>
  <si>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</si>
  <si>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</si>
  <si>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</si>
  <si>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</si>
  <si>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</si>
  <si>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</si>
  <si>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</si>
  <si>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</si>
  <si>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</si>
  <si>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</si>
  <si>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</si>
  <si>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</si>
  <si>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</si>
  <si>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</si>
  <si>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</si>
  <si>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</si>
  <si>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</si>
  <si>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</si>
  <si>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</si>
  <si>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</si>
  <si>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</si>
  <si>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</si>
  <si>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</si>
  <si>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</si>
  <si>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</si>
  <si>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</si>
  <si>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</si>
  <si>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</si>
  <si>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</si>
  <si>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</si>
  <si>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</si>
  <si>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</si>
  <si>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</si>
  <si>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</si>
  <si>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</si>
  <si>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</si>
  <si>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</si>
  <si>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</si>
  <si>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</si>
  <si>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</si>
  <si>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</si>
  <si>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</si>
  <si>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</si>
  <si>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</si>
  <si>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</si>
  <si>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</si>
  <si>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</si>
  <si>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</si>
  <si>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</si>
  <si>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</si>
  <si>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</si>
  <si>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</si>
  <si>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</si>
  <si>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</si>
  <si>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</si>
  <si>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</si>
  <si>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</si>
  <si>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</si>
  <si>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</si>
  <si>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</si>
  <si>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</si>
  <si>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</si>
  <si>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</si>
  <si>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</si>
  <si>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</si>
  <si>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</si>
  <si>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</si>
  <si>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</si>
  <si>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</si>
  <si>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</si>
  <si>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</si>
  <si>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</si>
  <si>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</si>
  <si>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</si>
  <si>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</si>
  <si>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</si>
  <si>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</si>
  <si>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</si>
  <si>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</si>
  <si>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</si>
  <si>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</si>
  <si>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</si>
  <si>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</si>
  <si>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</si>
  <si>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</si>
  <si>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</si>
  <si>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</si>
  <si>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</si>
  <si>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</si>
  <si>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</si>
  <si>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</si>
  <si>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</si>
  <si>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</si>
  <si>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</si>
  <si>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</si>
  <si>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</si>
  <si>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</si>
  <si>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</si>
  <si>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</si>
  <si>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</si>
  <si>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</si>
  <si>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</si>
  <si>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</si>
  <si>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</si>
  <si>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</si>
  <si>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</si>
  <si>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</si>
  <si>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</si>
  <si>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</si>
  <si>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</si>
  <si>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</si>
  <si>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</si>
  <si>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</si>
  <si>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</si>
  <si>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</si>
  <si>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</si>
  <si>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</si>
  <si>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</si>
  <si>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</si>
  <si>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</si>
  <si>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</si>
  <si>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</si>
  <si>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</si>
  <si>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</si>
  <si>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</si>
  <si>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</si>
  <si>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</si>
  <si>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</si>
  <si>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</si>
  <si>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</si>
  <si>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</si>
  <si>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</si>
  <si>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</si>
  <si>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</si>
  <si>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</si>
  <si>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</si>
  <si>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</si>
  <si>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</si>
  <si>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</si>
  <si>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</si>
  <si>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</si>
  <si>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</si>
  <si>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</si>
  <si>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</si>
  <si>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</si>
  <si>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</si>
  <si>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</si>
  <si>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</si>
  <si>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</si>
  <si>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</si>
  <si>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</si>
  <si>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</si>
  <si>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</si>
  <si>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</si>
  <si>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</si>
  <si>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</si>
  <si>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</si>
  <si>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</si>
  <si>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</si>
  <si>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</si>
  <si>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</si>
  <si>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</si>
  <si>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</si>
  <si>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</si>
  <si>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</si>
  <si>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</si>
  <si>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</si>
  <si>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</si>
  <si>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</si>
  <si>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</si>
  <si>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</si>
  <si>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</si>
  <si>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</si>
  <si>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</si>
  <si>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</si>
  <si>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</si>
  <si>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</si>
  <si>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</si>
  <si>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</si>
  <si>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</si>
  <si>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</si>
  <si>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</si>
  <si>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</si>
  <si>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</si>
  <si>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</si>
  <si>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</si>
  <si>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</si>
  <si>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</si>
  <si>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</si>
  <si>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</si>
  <si>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</si>
  <si>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</si>
  <si>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</si>
  <si>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</si>
  <si>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</si>
  <si>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</si>
  <si>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</si>
  <si>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</si>
  <si>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</si>
  <si>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</si>
  <si>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</si>
  <si>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</si>
  <si>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</si>
  <si>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</si>
  <si>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</si>
  <si>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</si>
  <si>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</si>
  <si>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</si>
  <si>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</si>
  <si>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</si>
  <si>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</si>
  <si>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</si>
  <si>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</si>
  <si>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</si>
  <si>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</si>
  <si>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</si>
  <si>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</si>
  <si>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</si>
  <si>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</si>
  <si>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</si>
  <si>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</si>
  <si>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</si>
  <si>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</si>
  <si>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</si>
  <si>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</si>
  <si>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</si>
  <si>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</si>
  <si>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</si>
  <si>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</si>
  <si>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</si>
  <si>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</si>
  <si>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</si>
  <si>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</si>
  <si>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</si>
  <si>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</si>
  <si>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</si>
  <si>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</si>
  <si>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</si>
  <si>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</si>
  <si>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</si>
  <si>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</si>
  <si>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</si>
  <si>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</si>
  <si>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</si>
  <si>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</si>
  <si>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</si>
  <si>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</si>
  <si>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</si>
  <si>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</si>
  <si>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</si>
  <si>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</si>
  <si>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</si>
  <si>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</si>
  <si>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</si>
  <si>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</si>
  <si>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</si>
  <si>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</si>
  <si>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</si>
  <si>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</si>
  <si>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</si>
  <si>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</si>
  <si>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</si>
  <si>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</si>
  <si>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</si>
  <si>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</si>
  <si>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</si>
  <si>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</si>
  <si>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</si>
  <si>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</si>
  <si>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</si>
  <si>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</si>
  <si>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</si>
  <si>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</si>
  <si>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</si>
  <si>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</si>
  <si>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</si>
  <si>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</si>
  <si>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</si>
  <si>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</si>
  <si>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</si>
  <si>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</si>
  <si>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</si>
  <si>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</si>
  <si>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</si>
  <si>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</si>
  <si>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</si>
  <si>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</si>
  <si>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</si>
  <si>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</si>
  <si>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</si>
  <si>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</si>
  <si>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</si>
  <si>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</si>
  <si>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</si>
  <si>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</si>
  <si>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</si>
  <si>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</si>
  <si>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</si>
  <si>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</si>
  <si>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</si>
  <si>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</si>
  <si>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</si>
  <si>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</si>
  <si>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</si>
  <si>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</si>
  <si>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</si>
  <si>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</si>
  <si>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</si>
  <si>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</si>
  <si>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</si>
  <si>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</si>
  <si>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</si>
  <si>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</si>
  <si>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</si>
  <si>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</si>
  <si>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</si>
  <si>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</si>
  <si>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</si>
  <si>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</si>
  <si>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</si>
  <si>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</si>
  <si>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</si>
  <si>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</si>
  <si>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</si>
  <si>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</si>
  <si>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</si>
  <si>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</si>
  <si>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</si>
  <si>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</si>
  <si>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</si>
  <si>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</si>
  <si>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</si>
  <si>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</si>
  <si>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</si>
  <si>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</si>
  <si>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</si>
  <si>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</si>
  <si>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</si>
  <si>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</si>
  <si>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</si>
  <si>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</si>
  <si>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</si>
  <si>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</si>
  <si>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</si>
  <si>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</si>
  <si>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</si>
  <si>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</si>
  <si>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</si>
  <si>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</si>
  <si>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</si>
  <si>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</si>
  <si>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</si>
  <si>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</si>
  <si>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</si>
  <si>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</si>
  <si>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</si>
  <si>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</si>
  <si>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</si>
  <si>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</si>
  <si>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</si>
  <si>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</si>
  <si>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</si>
  <si>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</si>
  <si>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</si>
  <si>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</si>
  <si>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</si>
  <si>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</si>
  <si>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</si>
  <si>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</si>
  <si>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</si>
  <si>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</si>
  <si>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</si>
  <si>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</si>
  <si>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</si>
  <si>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</si>
  <si>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</si>
  <si>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</si>
  <si>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</si>
  <si>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</si>
  <si>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</si>
  <si>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</si>
  <si>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</si>
  <si>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</si>
  <si>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</si>
  <si>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</si>
  <si>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</si>
  <si>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</si>
  <si>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</si>
  <si>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</si>
  <si>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</si>
  <si>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</si>
  <si>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</si>
  <si>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</si>
  <si>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</si>
  <si>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</si>
  <si>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</si>
  <si>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</si>
  <si>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</si>
  <si>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</si>
  <si>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</si>
  <si>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</si>
  <si>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</si>
  <si>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</si>
  <si>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</si>
  <si>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</si>
  <si>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</si>
  <si>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</si>
  <si>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</si>
  <si>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</si>
  <si>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</si>
  <si>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</si>
  <si>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</si>
  <si>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</si>
  <si>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</si>
  <si>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</si>
  <si>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</si>
  <si>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</si>
  <si>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</si>
  <si>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</si>
  <si>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</si>
  <si>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</si>
  <si>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</si>
  <si>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</si>
  <si>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</si>
  <si>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</si>
  <si>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</si>
  <si>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</si>
  <si>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</si>
  <si>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</si>
  <si>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</si>
  <si>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</si>
  <si>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</si>
  <si>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</si>
  <si>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</si>
  <si>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</si>
  <si>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</si>
  <si>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</si>
  <si>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</si>
  <si>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</si>
  <si>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</si>
  <si>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</si>
  <si>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</si>
  <si>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</si>
  <si>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</si>
  <si>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</si>
  <si>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</si>
  <si>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</si>
  <si>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</si>
  <si>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</si>
  <si>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</si>
  <si>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</si>
  <si>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</si>
  <si>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</si>
  <si>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</si>
  <si>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</si>
  <si>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</si>
  <si>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</si>
  <si>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</si>
  <si>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31033</t>
  </si>
  <si>
    <t>TORHOUT</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</si>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</sst>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173283.09875665681</c:v>
                </c:pt>
                <c:pt idx="1">
                  <c:v>75503.035292313434</c:v>
                </c:pt>
                <c:pt idx="2">
                  <c:v>1396.54</c:v>
                </c:pt>
                <c:pt idx="3">
                  <c:v>12458.761612641081</c:v>
                </c:pt>
                <c:pt idx="4">
                  <c:v>54911.113915799055</c:v>
                </c:pt>
                <c:pt idx="5">
                  <c:v>100898.01430144982</c:v>
                </c:pt>
                <c:pt idx="6">
                  <c:v>1171.9716428997503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173283.09875665681</c:v>
                </c:pt>
                <c:pt idx="1">
                  <c:v>75503.035292313434</c:v>
                </c:pt>
                <c:pt idx="2">
                  <c:v>1396.54</c:v>
                </c:pt>
                <c:pt idx="3">
                  <c:v>12458.761612641081</c:v>
                </c:pt>
                <c:pt idx="4">
                  <c:v>54911.113915799055</c:v>
                </c:pt>
                <c:pt idx="5">
                  <c:v>100898.01430144982</c:v>
                </c:pt>
                <c:pt idx="6">
                  <c:v>1171.9716428997503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33109.463196971061</c:v>
                </c:pt>
                <c:pt idx="2">
                  <c:v>15316.013495594299</c:v>
                </c:pt>
                <c:pt idx="3">
                  <c:v>287.38405497649262</c:v>
                </c:pt>
                <c:pt idx="4">
                  <c:v>3143.812582703732</c:v>
                </c:pt>
                <c:pt idx="5">
                  <c:v>11470.099605552943</c:v>
                </c:pt>
                <c:pt idx="6">
                  <c:v>25304.474647875086</c:v>
                </c:pt>
                <c:pt idx="7">
                  <c:v>295.9980793691804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33109.463196971061</c:v>
                </c:pt>
                <c:pt idx="2">
                  <c:v>15316.013495594299</c:v>
                </c:pt>
                <c:pt idx="3">
                  <c:v>287.38405497649262</c:v>
                </c:pt>
                <c:pt idx="4">
                  <c:v>3143.812582703732</c:v>
                </c:pt>
                <c:pt idx="5">
                  <c:v>11470.099605552943</c:v>
                </c:pt>
                <c:pt idx="6">
                  <c:v>25304.474647875086</c:v>
                </c:pt>
                <c:pt idx="7">
                  <c:v>295.9980793691804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31033</v>
      </c>
      <c r="B6" s="391"/>
      <c r="C6" s="392"/>
    </row>
    <row r="7" spans="1:7" s="389" customFormat="1" ht="15.75" customHeight="1">
      <c r="A7" s="393" t="str">
        <f>txtMunicipality</f>
        <v>TORHOUT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0.20578290272852379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0.20578290272852379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8624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2784</v>
      </c>
      <c r="C14" s="330"/>
      <c r="D14" s="330"/>
      <c r="E14" s="330"/>
      <c r="F14" s="330"/>
    </row>
    <row r="15" spans="1:6">
      <c r="A15" s="1305" t="s">
        <v>183</v>
      </c>
      <c r="B15" s="1306">
        <v>34</v>
      </c>
      <c r="C15" s="330"/>
      <c r="D15" s="330"/>
      <c r="E15" s="330"/>
      <c r="F15" s="330"/>
    </row>
    <row r="16" spans="1:6">
      <c r="A16" s="1305" t="s">
        <v>6</v>
      </c>
      <c r="B16" s="1306">
        <v>1134</v>
      </c>
      <c r="C16" s="330"/>
      <c r="D16" s="330"/>
      <c r="E16" s="330"/>
      <c r="F16" s="330"/>
    </row>
    <row r="17" spans="1:6">
      <c r="A17" s="1305" t="s">
        <v>7</v>
      </c>
      <c r="B17" s="1306">
        <v>1294</v>
      </c>
      <c r="C17" s="330"/>
      <c r="D17" s="330"/>
      <c r="E17" s="330"/>
      <c r="F17" s="330"/>
    </row>
    <row r="18" spans="1:6">
      <c r="A18" s="1305" t="s">
        <v>8</v>
      </c>
      <c r="B18" s="1306">
        <v>1691</v>
      </c>
      <c r="C18" s="330"/>
      <c r="D18" s="330"/>
      <c r="E18" s="330"/>
      <c r="F18" s="330"/>
    </row>
    <row r="19" spans="1:6">
      <c r="A19" s="1305" t="s">
        <v>9</v>
      </c>
      <c r="B19" s="1306">
        <v>1568</v>
      </c>
      <c r="C19" s="330"/>
      <c r="D19" s="330"/>
      <c r="E19" s="330"/>
      <c r="F19" s="330"/>
    </row>
    <row r="20" spans="1:6">
      <c r="A20" s="1305" t="s">
        <v>10</v>
      </c>
      <c r="B20" s="1306">
        <v>1109</v>
      </c>
      <c r="C20" s="330"/>
      <c r="D20" s="330"/>
      <c r="E20" s="330"/>
      <c r="F20" s="330"/>
    </row>
    <row r="21" spans="1:6">
      <c r="A21" s="1305" t="s">
        <v>11</v>
      </c>
      <c r="B21" s="1306">
        <v>16323</v>
      </c>
      <c r="C21" s="330"/>
      <c r="D21" s="330"/>
      <c r="E21" s="330"/>
      <c r="F21" s="330"/>
    </row>
    <row r="22" spans="1:6">
      <c r="A22" s="1305" t="s">
        <v>12</v>
      </c>
      <c r="B22" s="1306">
        <v>79229</v>
      </c>
      <c r="C22" s="330"/>
      <c r="D22" s="330"/>
      <c r="E22" s="330"/>
      <c r="F22" s="330"/>
    </row>
    <row r="23" spans="1:6">
      <c r="A23" s="1305" t="s">
        <v>13</v>
      </c>
      <c r="B23" s="1306">
        <v>997</v>
      </c>
      <c r="C23" s="330"/>
      <c r="D23" s="330"/>
      <c r="E23" s="330"/>
      <c r="F23" s="330"/>
    </row>
    <row r="24" spans="1:6">
      <c r="A24" s="1305" t="s">
        <v>14</v>
      </c>
      <c r="B24" s="1306">
        <v>23</v>
      </c>
      <c r="C24" s="330"/>
      <c r="D24" s="330"/>
      <c r="E24" s="330"/>
      <c r="F24" s="330"/>
    </row>
    <row r="25" spans="1:6">
      <c r="A25" s="1305" t="s">
        <v>15</v>
      </c>
      <c r="B25" s="1306">
        <v>3318</v>
      </c>
      <c r="C25" s="330"/>
      <c r="D25" s="330"/>
      <c r="E25" s="330"/>
      <c r="F25" s="330"/>
    </row>
    <row r="26" spans="1:6">
      <c r="A26" s="1305" t="s">
        <v>16</v>
      </c>
      <c r="B26" s="1306">
        <v>274</v>
      </c>
      <c r="C26" s="330"/>
      <c r="D26" s="330"/>
      <c r="E26" s="330"/>
      <c r="F26" s="330"/>
    </row>
    <row r="27" spans="1:6">
      <c r="A27" s="1305" t="s">
        <v>17</v>
      </c>
      <c r="B27" s="1306">
        <v>16</v>
      </c>
      <c r="C27" s="330"/>
      <c r="D27" s="330"/>
      <c r="E27" s="330"/>
      <c r="F27" s="330"/>
    </row>
    <row r="28" spans="1:6" s="43" customFormat="1">
      <c r="A28" s="1307" t="s">
        <v>18</v>
      </c>
      <c r="B28" s="1308">
        <v>52550</v>
      </c>
      <c r="C28" s="336"/>
      <c r="D28" s="336"/>
      <c r="E28" s="336"/>
      <c r="F28" s="336"/>
    </row>
    <row r="29" spans="1:6">
      <c r="A29" s="1307" t="s">
        <v>909</v>
      </c>
      <c r="B29" s="1308">
        <v>300</v>
      </c>
      <c r="C29" s="336"/>
      <c r="D29" s="336"/>
      <c r="E29" s="336"/>
      <c r="F29" s="336"/>
    </row>
    <row r="30" spans="1:6">
      <c r="A30" s="1300" t="s">
        <v>910</v>
      </c>
      <c r="B30" s="1309">
        <v>65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4</v>
      </c>
      <c r="D35" s="1306">
        <v>838846</v>
      </c>
      <c r="E35" s="1306">
        <v>0</v>
      </c>
      <c r="F35" s="1306">
        <v>0</v>
      </c>
    </row>
    <row r="36" spans="1:6">
      <c r="A36" s="1305" t="s">
        <v>24</v>
      </c>
      <c r="B36" s="1305" t="s">
        <v>26</v>
      </c>
      <c r="C36" s="1306">
        <v>0</v>
      </c>
      <c r="D36" s="1306">
        <v>0</v>
      </c>
      <c r="E36" s="1306">
        <v>9</v>
      </c>
      <c r="F36" s="1306">
        <v>2907638</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45344</v>
      </c>
    </row>
    <row r="39" spans="1:6">
      <c r="A39" s="1305" t="s">
        <v>29</v>
      </c>
      <c r="B39" s="1305" t="s">
        <v>30</v>
      </c>
      <c r="C39" s="1306">
        <v>5125</v>
      </c>
      <c r="D39" s="1306">
        <v>83436071</v>
      </c>
      <c r="E39" s="1306">
        <v>8484</v>
      </c>
      <c r="F39" s="1306">
        <v>35601358</v>
      </c>
    </row>
    <row r="40" spans="1:6">
      <c r="A40" s="1305" t="s">
        <v>29</v>
      </c>
      <c r="B40" s="1305" t="s">
        <v>28</v>
      </c>
      <c r="C40" s="1306">
        <v>0</v>
      </c>
      <c r="D40" s="1306">
        <v>0</v>
      </c>
      <c r="E40" s="1306">
        <v>0</v>
      </c>
      <c r="F40" s="1306">
        <v>0</v>
      </c>
    </row>
    <row r="41" spans="1:6">
      <c r="A41" s="1305" t="s">
        <v>31</v>
      </c>
      <c r="B41" s="1305" t="s">
        <v>32</v>
      </c>
      <c r="C41" s="1306">
        <v>83</v>
      </c>
      <c r="D41" s="1306">
        <v>1924526</v>
      </c>
      <c r="E41" s="1306">
        <v>243</v>
      </c>
      <c r="F41" s="1306">
        <v>1931711.861751152</v>
      </c>
    </row>
    <row r="42" spans="1:6">
      <c r="A42" s="1305" t="s">
        <v>31</v>
      </c>
      <c r="B42" s="1305" t="s">
        <v>33</v>
      </c>
      <c r="C42" s="1306">
        <v>0</v>
      </c>
      <c r="D42" s="1306">
        <v>0</v>
      </c>
      <c r="E42" s="1306">
        <v>5</v>
      </c>
      <c r="F42" s="1306">
        <v>103954</v>
      </c>
    </row>
    <row r="43" spans="1:6">
      <c r="A43" s="1305" t="s">
        <v>31</v>
      </c>
      <c r="B43" s="1305" t="s">
        <v>34</v>
      </c>
      <c r="C43" s="1306">
        <v>0</v>
      </c>
      <c r="D43" s="1306">
        <v>0</v>
      </c>
      <c r="E43" s="1306">
        <v>0</v>
      </c>
      <c r="F43" s="1306">
        <v>0</v>
      </c>
    </row>
    <row r="44" spans="1:6">
      <c r="A44" s="1305" t="s">
        <v>31</v>
      </c>
      <c r="B44" s="1305" t="s">
        <v>35</v>
      </c>
      <c r="C44" s="1306">
        <v>14</v>
      </c>
      <c r="D44" s="1306">
        <v>409538</v>
      </c>
      <c r="E44" s="1306">
        <v>39</v>
      </c>
      <c r="F44" s="1306">
        <v>746495</v>
      </c>
    </row>
    <row r="45" spans="1:6">
      <c r="A45" s="1305" t="s">
        <v>31</v>
      </c>
      <c r="B45" s="1305" t="s">
        <v>36</v>
      </c>
      <c r="C45" s="1306">
        <v>0</v>
      </c>
      <c r="D45" s="1306">
        <v>0</v>
      </c>
      <c r="E45" s="1306">
        <v>4</v>
      </c>
      <c r="F45" s="1306">
        <v>511461</v>
      </c>
    </row>
    <row r="46" spans="1:6">
      <c r="A46" s="1305" t="s">
        <v>31</v>
      </c>
      <c r="B46" s="1305" t="s">
        <v>37</v>
      </c>
      <c r="C46" s="1306">
        <v>0</v>
      </c>
      <c r="D46" s="1306">
        <v>0</v>
      </c>
      <c r="E46" s="1306">
        <v>0</v>
      </c>
      <c r="F46" s="1306">
        <v>0</v>
      </c>
    </row>
    <row r="47" spans="1:6">
      <c r="A47" s="1305" t="s">
        <v>31</v>
      </c>
      <c r="B47" s="1305" t="s">
        <v>38</v>
      </c>
      <c r="C47" s="1306">
        <v>8</v>
      </c>
      <c r="D47" s="1306">
        <v>427931</v>
      </c>
      <c r="E47" s="1306">
        <v>9</v>
      </c>
      <c r="F47" s="1306">
        <v>202410</v>
      </c>
    </row>
    <row r="48" spans="1:6">
      <c r="A48" s="1305" t="s">
        <v>31</v>
      </c>
      <c r="B48" s="1305" t="s">
        <v>28</v>
      </c>
      <c r="C48" s="1306">
        <v>3</v>
      </c>
      <c r="D48" s="1306">
        <v>218174</v>
      </c>
      <c r="E48" s="1306">
        <v>0</v>
      </c>
      <c r="F48" s="1306">
        <v>0</v>
      </c>
    </row>
    <row r="49" spans="1:6">
      <c r="A49" s="1305" t="s">
        <v>31</v>
      </c>
      <c r="B49" s="1305" t="s">
        <v>39</v>
      </c>
      <c r="C49" s="1306">
        <v>3</v>
      </c>
      <c r="D49" s="1306">
        <v>69352</v>
      </c>
      <c r="E49" s="1306">
        <v>6</v>
      </c>
      <c r="F49" s="1306">
        <v>120523</v>
      </c>
    </row>
    <row r="50" spans="1:6">
      <c r="A50" s="1305" t="s">
        <v>31</v>
      </c>
      <c r="B50" s="1305" t="s">
        <v>40</v>
      </c>
      <c r="C50" s="1306">
        <v>18</v>
      </c>
      <c r="D50" s="1306">
        <v>7443507</v>
      </c>
      <c r="E50" s="1306">
        <v>29</v>
      </c>
      <c r="F50" s="1306">
        <v>11391159</v>
      </c>
    </row>
    <row r="51" spans="1:6">
      <c r="A51" s="1305" t="s">
        <v>41</v>
      </c>
      <c r="B51" s="1305" t="s">
        <v>42</v>
      </c>
      <c r="C51" s="1306">
        <v>19</v>
      </c>
      <c r="D51" s="1306">
        <v>430988</v>
      </c>
      <c r="E51" s="1306">
        <v>167</v>
      </c>
      <c r="F51" s="1306">
        <v>3262373</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124</v>
      </c>
      <c r="F54" s="1306">
        <v>1396540</v>
      </c>
    </row>
    <row r="55" spans="1:6">
      <c r="A55" s="1305" t="s">
        <v>45</v>
      </c>
      <c r="B55" s="1305" t="s">
        <v>28</v>
      </c>
      <c r="C55" s="1306">
        <v>0</v>
      </c>
      <c r="D55" s="1306">
        <v>0</v>
      </c>
      <c r="E55" s="1306">
        <v>0</v>
      </c>
      <c r="F55" s="1306">
        <v>0</v>
      </c>
    </row>
    <row r="56" spans="1:6">
      <c r="A56" s="1305" t="s">
        <v>47</v>
      </c>
      <c r="B56" s="1305" t="s">
        <v>28</v>
      </c>
      <c r="C56" s="1306">
        <v>86</v>
      </c>
      <c r="D56" s="1306">
        <v>3868367</v>
      </c>
      <c r="E56" s="1306">
        <v>174</v>
      </c>
      <c r="F56" s="1306">
        <v>811141</v>
      </c>
    </row>
    <row r="57" spans="1:6">
      <c r="A57" s="1305" t="s">
        <v>48</v>
      </c>
      <c r="B57" s="1305" t="s">
        <v>49</v>
      </c>
      <c r="C57" s="1306">
        <v>76</v>
      </c>
      <c r="D57" s="1306">
        <v>7433285</v>
      </c>
      <c r="E57" s="1306">
        <v>114</v>
      </c>
      <c r="F57" s="1306">
        <v>1689770</v>
      </c>
    </row>
    <row r="58" spans="1:6">
      <c r="A58" s="1305" t="s">
        <v>48</v>
      </c>
      <c r="B58" s="1305" t="s">
        <v>50</v>
      </c>
      <c r="C58" s="1306">
        <v>42</v>
      </c>
      <c r="D58" s="1306">
        <v>7971324</v>
      </c>
      <c r="E58" s="1306">
        <v>71</v>
      </c>
      <c r="F58" s="1306">
        <v>4281890</v>
      </c>
    </row>
    <row r="59" spans="1:6">
      <c r="A59" s="1305" t="s">
        <v>48</v>
      </c>
      <c r="B59" s="1305" t="s">
        <v>51</v>
      </c>
      <c r="C59" s="1306">
        <v>173</v>
      </c>
      <c r="D59" s="1306">
        <v>6177128</v>
      </c>
      <c r="E59" s="1306">
        <v>341</v>
      </c>
      <c r="F59" s="1306">
        <v>9527718</v>
      </c>
    </row>
    <row r="60" spans="1:6">
      <c r="A60" s="1305" t="s">
        <v>48</v>
      </c>
      <c r="B60" s="1305" t="s">
        <v>52</v>
      </c>
      <c r="C60" s="1306">
        <v>64</v>
      </c>
      <c r="D60" s="1306">
        <v>2528138</v>
      </c>
      <c r="E60" s="1306">
        <v>88</v>
      </c>
      <c r="F60" s="1306">
        <v>2424547</v>
      </c>
    </row>
    <row r="61" spans="1:6">
      <c r="A61" s="1305" t="s">
        <v>48</v>
      </c>
      <c r="B61" s="1305" t="s">
        <v>53</v>
      </c>
      <c r="C61" s="1306">
        <v>120</v>
      </c>
      <c r="D61" s="1306">
        <v>15222004</v>
      </c>
      <c r="E61" s="1306">
        <v>390</v>
      </c>
      <c r="F61" s="1306">
        <v>6181037</v>
      </c>
    </row>
    <row r="62" spans="1:6">
      <c r="A62" s="1305" t="s">
        <v>48</v>
      </c>
      <c r="B62" s="1305" t="s">
        <v>54</v>
      </c>
      <c r="C62" s="1306">
        <v>30</v>
      </c>
      <c r="D62" s="1306">
        <v>9769871</v>
      </c>
      <c r="E62" s="1306">
        <v>26</v>
      </c>
      <c r="F62" s="1306">
        <v>1673629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12594</v>
      </c>
      <c r="E65" s="1306">
        <v>1</v>
      </c>
      <c r="F65" s="1306">
        <v>145606</v>
      </c>
    </row>
    <row r="66" spans="1:6">
      <c r="A66" s="1305" t="s">
        <v>55</v>
      </c>
      <c r="B66" s="1305" t="s">
        <v>57</v>
      </c>
      <c r="C66" s="1306">
        <v>0</v>
      </c>
      <c r="D66" s="1306">
        <v>0</v>
      </c>
      <c r="E66" s="1306">
        <v>0</v>
      </c>
      <c r="F66" s="1306">
        <v>0</v>
      </c>
    </row>
    <row r="67" spans="1:6">
      <c r="A67" s="1307" t="s">
        <v>55</v>
      </c>
      <c r="B67" s="1307" t="s">
        <v>58</v>
      </c>
      <c r="C67" s="1306">
        <v>0</v>
      </c>
      <c r="D67" s="1306">
        <v>0</v>
      </c>
      <c r="E67" s="1306">
        <v>3</v>
      </c>
      <c r="F67" s="1306">
        <v>84226</v>
      </c>
    </row>
    <row r="68" spans="1:6">
      <c r="A68" s="1300" t="s">
        <v>55</v>
      </c>
      <c r="B68" s="1300" t="s">
        <v>59</v>
      </c>
      <c r="C68" s="1309">
        <v>5</v>
      </c>
      <c r="D68" s="1309">
        <v>110005</v>
      </c>
      <c r="E68" s="1309">
        <v>18</v>
      </c>
      <c r="F68" s="1309">
        <v>121302</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54005633</v>
      </c>
      <c r="E73" s="450"/>
      <c r="F73" s="330"/>
    </row>
    <row r="74" spans="1:6">
      <c r="A74" s="1305" t="s">
        <v>63</v>
      </c>
      <c r="B74" s="1305" t="s">
        <v>710</v>
      </c>
      <c r="C74" s="1319" t="s">
        <v>712</v>
      </c>
      <c r="D74" s="1320">
        <v>8079522.6470185546</v>
      </c>
      <c r="E74" s="450"/>
      <c r="F74" s="330"/>
    </row>
    <row r="75" spans="1:6">
      <c r="A75" s="1305" t="s">
        <v>64</v>
      </c>
      <c r="B75" s="1305" t="s">
        <v>709</v>
      </c>
      <c r="C75" s="1319" t="s">
        <v>713</v>
      </c>
      <c r="D75" s="1320">
        <v>25217175</v>
      </c>
      <c r="E75" s="450"/>
      <c r="F75" s="330"/>
    </row>
    <row r="76" spans="1:6">
      <c r="A76" s="1305" t="s">
        <v>64</v>
      </c>
      <c r="B76" s="1305" t="s">
        <v>710</v>
      </c>
      <c r="C76" s="1319" t="s">
        <v>714</v>
      </c>
      <c r="D76" s="1320">
        <v>1393998.6470185546</v>
      </c>
      <c r="E76" s="450"/>
      <c r="F76" s="330"/>
    </row>
    <row r="77" spans="1:6">
      <c r="A77" s="1305" t="s">
        <v>65</v>
      </c>
      <c r="B77" s="1305" t="s">
        <v>709</v>
      </c>
      <c r="C77" s="1319" t="s">
        <v>715</v>
      </c>
      <c r="D77" s="1320">
        <v>16709617</v>
      </c>
      <c r="E77" s="450"/>
      <c r="F77" s="330"/>
    </row>
    <row r="78" spans="1:6">
      <c r="A78" s="1300" t="s">
        <v>65</v>
      </c>
      <c r="B78" s="1300" t="s">
        <v>710</v>
      </c>
      <c r="C78" s="1300" t="s">
        <v>716</v>
      </c>
      <c r="D78" s="1321">
        <v>2436802</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314674.70596289088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4578.5060405079794</v>
      </c>
      <c r="C91" s="330"/>
      <c r="D91" s="330"/>
      <c r="E91" s="330"/>
      <c r="F91" s="330"/>
    </row>
    <row r="92" spans="1:6">
      <c r="A92" s="1300" t="s">
        <v>68</v>
      </c>
      <c r="B92" s="1301">
        <v>1373.86308902563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2900</v>
      </c>
      <c r="C97" s="330"/>
      <c r="D97" s="330"/>
      <c r="E97" s="330"/>
      <c r="F97" s="330"/>
    </row>
    <row r="98" spans="1:6">
      <c r="A98" s="1305" t="s">
        <v>71</v>
      </c>
      <c r="B98" s="1306">
        <v>0</v>
      </c>
      <c r="C98" s="330"/>
      <c r="D98" s="330"/>
      <c r="E98" s="330"/>
      <c r="F98" s="330"/>
    </row>
    <row r="99" spans="1:6">
      <c r="A99" s="1305" t="s">
        <v>72</v>
      </c>
      <c r="B99" s="1306">
        <v>129</v>
      </c>
      <c r="C99" s="330"/>
      <c r="D99" s="330"/>
      <c r="E99" s="330"/>
      <c r="F99" s="330"/>
    </row>
    <row r="100" spans="1:6">
      <c r="A100" s="1305" t="s">
        <v>73</v>
      </c>
      <c r="B100" s="1306">
        <v>998</v>
      </c>
      <c r="C100" s="330"/>
      <c r="D100" s="330"/>
      <c r="E100" s="330"/>
      <c r="F100" s="330"/>
    </row>
    <row r="101" spans="1:6">
      <c r="A101" s="1305" t="s">
        <v>74</v>
      </c>
      <c r="B101" s="1306">
        <v>144</v>
      </c>
      <c r="C101" s="330"/>
      <c r="D101" s="330"/>
      <c r="E101" s="330"/>
      <c r="F101" s="330"/>
    </row>
    <row r="102" spans="1:6">
      <c r="A102" s="1305" t="s">
        <v>75</v>
      </c>
      <c r="B102" s="1306">
        <v>105</v>
      </c>
      <c r="C102" s="330"/>
      <c r="D102" s="330"/>
      <c r="E102" s="330"/>
      <c r="F102" s="330"/>
    </row>
    <row r="103" spans="1:6">
      <c r="A103" s="1305" t="s">
        <v>76</v>
      </c>
      <c r="B103" s="1306">
        <v>238</v>
      </c>
      <c r="C103" s="330"/>
      <c r="D103" s="330"/>
      <c r="E103" s="330"/>
      <c r="F103" s="330"/>
    </row>
    <row r="104" spans="1:6">
      <c r="A104" s="1305" t="s">
        <v>77</v>
      </c>
      <c r="B104" s="1306">
        <v>2766</v>
      </c>
      <c r="C104" s="330"/>
      <c r="D104" s="330"/>
      <c r="E104" s="330"/>
      <c r="F104" s="330"/>
    </row>
    <row r="105" spans="1:6">
      <c r="A105" s="1300" t="s">
        <v>78</v>
      </c>
      <c r="B105" s="1309">
        <v>6</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23</v>
      </c>
      <c r="C123" s="1306">
        <v>24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209</v>
      </c>
      <c r="C129" s="330"/>
      <c r="D129" s="330"/>
      <c r="E129" s="330"/>
      <c r="F129" s="330"/>
    </row>
    <row r="130" spans="1:6">
      <c r="A130" s="1305" t="s">
        <v>294</v>
      </c>
      <c r="B130" s="1306">
        <v>5</v>
      </c>
      <c r="C130" s="330"/>
      <c r="D130" s="330"/>
      <c r="E130" s="330"/>
      <c r="F130" s="330"/>
    </row>
    <row r="131" spans="1:6">
      <c r="A131" s="1305" t="s">
        <v>295</v>
      </c>
      <c r="B131" s="1306">
        <v>2</v>
      </c>
      <c r="C131" s="330"/>
      <c r="D131" s="330"/>
      <c r="E131" s="330"/>
      <c r="F131" s="330"/>
    </row>
    <row r="132" spans="1:6">
      <c r="A132" s="1300" t="s">
        <v>296</v>
      </c>
      <c r="B132" s="1301">
        <v>19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86447.076874032136</v>
      </c>
      <c r="C3" s="43" t="s">
        <v>169</v>
      </c>
      <c r="D3" s="43"/>
      <c r="E3" s="154"/>
      <c r="F3" s="43"/>
      <c r="G3" s="43"/>
      <c r="H3" s="43"/>
      <c r="I3" s="43"/>
      <c r="J3" s="43"/>
      <c r="K3" s="96"/>
    </row>
    <row r="4" spans="1:11">
      <c r="A4" s="359" t="s">
        <v>170</v>
      </c>
      <c r="B4" s="49">
        <f>IF(ISERROR('SEAP template'!B78+'SEAP template'!C78),0,'SEAP template'!B78+'SEAP template'!C78)</f>
        <v>5952.3691295336093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0.20578290272852379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1396.54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1396.54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0.20578290272852379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287.38405497649262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35601.358</v>
      </c>
      <c r="C5" s="17">
        <f>IF(ISERROR('Eigen informatie GS &amp; warmtenet'!B57),0,'Eigen informatie GS &amp; warmtenet'!B57)</f>
        <v>0</v>
      </c>
      <c r="D5" s="30">
        <f>(SUM(HH_hh_gas_kWh,HH_rest_gas_kWh)/1000)*0.902</f>
        <v>75259.336041999995</v>
      </c>
      <c r="E5" s="17">
        <f>B46*B57</f>
        <v>21697.352865567904</v>
      </c>
      <c r="F5" s="17">
        <f>B51*B62</f>
        <v>17093.073956287168</v>
      </c>
      <c r="G5" s="18"/>
      <c r="H5" s="17"/>
      <c r="I5" s="17"/>
      <c r="J5" s="17">
        <f>B50*B61+C50*C61</f>
        <v>422.59439599239488</v>
      </c>
      <c r="K5" s="17"/>
      <c r="L5" s="17"/>
      <c r="M5" s="17"/>
      <c r="N5" s="17">
        <f>B48*B59+C48*C59</f>
        <v>17465.820789634701</v>
      </c>
      <c r="O5" s="17">
        <f>B69*B70*B71</f>
        <v>364.25666666666666</v>
      </c>
      <c r="P5" s="17">
        <f>B77*B78*B79/1000-B77*B78*B79/1000/B80</f>
        <v>800.8</v>
      </c>
    </row>
    <row r="6" spans="1:16">
      <c r="A6" s="16" t="s">
        <v>630</v>
      </c>
      <c r="B6" s="763">
        <f>kWh_PV_kleiner_dan_10kW</f>
        <v>4578.5060405079794</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40179.864040507979</v>
      </c>
      <c r="C8" s="21">
        <f>C5</f>
        <v>0</v>
      </c>
      <c r="D8" s="21">
        <f>D5</f>
        <v>75259.336041999995</v>
      </c>
      <c r="E8" s="21">
        <f>E5</f>
        <v>21697.352865567904</v>
      </c>
      <c r="F8" s="21">
        <f>F5</f>
        <v>17093.073956287168</v>
      </c>
      <c r="G8" s="21"/>
      <c r="H8" s="21"/>
      <c r="I8" s="21"/>
      <c r="J8" s="21">
        <f>J5</f>
        <v>422.59439599239488</v>
      </c>
      <c r="K8" s="21"/>
      <c r="L8" s="21">
        <f>L5</f>
        <v>0</v>
      </c>
      <c r="M8" s="21">
        <f>M5</f>
        <v>0</v>
      </c>
      <c r="N8" s="21">
        <f>N5</f>
        <v>17465.820789634701</v>
      </c>
      <c r="O8" s="21">
        <f>O5</f>
        <v>364.25666666666666</v>
      </c>
      <c r="P8" s="21">
        <f>P5</f>
        <v>800.8</v>
      </c>
    </row>
    <row r="9" spans="1:16">
      <c r="B9" s="19"/>
      <c r="C9" s="19"/>
      <c r="D9" s="258"/>
      <c r="E9" s="19"/>
      <c r="F9" s="19"/>
      <c r="G9" s="19"/>
      <c r="H9" s="19"/>
      <c r="I9" s="19"/>
      <c r="J9" s="19"/>
      <c r="K9" s="19"/>
      <c r="L9" s="19"/>
      <c r="M9" s="19"/>
      <c r="N9" s="19"/>
      <c r="O9" s="19"/>
      <c r="P9" s="19"/>
    </row>
    <row r="10" spans="1:16">
      <c r="A10" s="24" t="s">
        <v>213</v>
      </c>
      <c r="B10" s="25">
        <f ca="1">'EF ele_warmte'!B12</f>
        <v>0.20578290272852379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8268.3290534931639</v>
      </c>
      <c r="C12" s="23">
        <f ca="1">C10*C8</f>
        <v>0</v>
      </c>
      <c r="D12" s="23">
        <f>D8*D10</f>
        <v>15202.385880484</v>
      </c>
      <c r="E12" s="23">
        <f>E10*E8</f>
        <v>4925.2991004839141</v>
      </c>
      <c r="F12" s="23">
        <f>F10*F8</f>
        <v>4563.8507463286742</v>
      </c>
      <c r="G12" s="23"/>
      <c r="H12" s="23"/>
      <c r="I12" s="23"/>
      <c r="J12" s="23">
        <f>J10*J8</f>
        <v>149.59841618130778</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2900</v>
      </c>
      <c r="C18" s="166" t="s">
        <v>110</v>
      </c>
      <c r="D18" s="228"/>
      <c r="E18" s="15"/>
    </row>
    <row r="19" spans="1:7">
      <c r="A19" s="171" t="s">
        <v>71</v>
      </c>
      <c r="B19" s="37">
        <f>aantalw2001_ander</f>
        <v>0</v>
      </c>
      <c r="C19" s="166" t="s">
        <v>110</v>
      </c>
      <c r="D19" s="229"/>
      <c r="E19" s="15"/>
    </row>
    <row r="20" spans="1:7">
      <c r="A20" s="171" t="s">
        <v>72</v>
      </c>
      <c r="B20" s="37">
        <f>aantalw2001_propaan</f>
        <v>129</v>
      </c>
      <c r="C20" s="167">
        <f>IF(ISERROR(B20/SUM($B$20,$B$21,$B$22)*100),0,B20/SUM($B$20,$B$21,$B$22)*100)</f>
        <v>10.149488591660111</v>
      </c>
      <c r="D20" s="229"/>
      <c r="E20" s="15"/>
    </row>
    <row r="21" spans="1:7">
      <c r="A21" s="171" t="s">
        <v>73</v>
      </c>
      <c r="B21" s="37">
        <f>aantalw2001_elektriciteit</f>
        <v>998</v>
      </c>
      <c r="C21" s="167">
        <f>IF(ISERROR(B21/SUM($B$20,$B$21,$B$22)*100),0,B21/SUM($B$20,$B$21,$B$22)*100)</f>
        <v>78.520849724626274</v>
      </c>
      <c r="D21" s="229"/>
      <c r="E21" s="15"/>
    </row>
    <row r="22" spans="1:7">
      <c r="A22" s="171" t="s">
        <v>74</v>
      </c>
      <c r="B22" s="37">
        <f>aantalw2001_hout</f>
        <v>144</v>
      </c>
      <c r="C22" s="167">
        <f>IF(ISERROR(B22/SUM($B$20,$B$21,$B$22)*100),0,B22/SUM($B$20,$B$21,$B$22)*100)</f>
        <v>11.329661683713612</v>
      </c>
      <c r="D22" s="229"/>
      <c r="E22" s="15"/>
    </row>
    <row r="23" spans="1:7">
      <c r="A23" s="171" t="s">
        <v>75</v>
      </c>
      <c r="B23" s="37">
        <f>aantalw2001_niet_gespec</f>
        <v>105</v>
      </c>
      <c r="C23" s="166" t="s">
        <v>110</v>
      </c>
      <c r="D23" s="228"/>
      <c r="E23" s="15"/>
    </row>
    <row r="24" spans="1:7">
      <c r="A24" s="171" t="s">
        <v>76</v>
      </c>
      <c r="B24" s="37">
        <f>aantalw2001_steenkool</f>
        <v>238</v>
      </c>
      <c r="C24" s="166" t="s">
        <v>110</v>
      </c>
      <c r="D24" s="229"/>
      <c r="E24" s="15"/>
    </row>
    <row r="25" spans="1:7">
      <c r="A25" s="171" t="s">
        <v>77</v>
      </c>
      <c r="B25" s="37">
        <f>aantalw2001_stookolie</f>
        <v>2766</v>
      </c>
      <c r="C25" s="166" t="s">
        <v>110</v>
      </c>
      <c r="D25" s="228"/>
      <c r="E25" s="52"/>
    </row>
    <row r="26" spans="1:7">
      <c r="A26" s="171" t="s">
        <v>78</v>
      </c>
      <c r="B26" s="37">
        <f>aantalw2001_WP</f>
        <v>6</v>
      </c>
      <c r="C26" s="166" t="s">
        <v>110</v>
      </c>
      <c r="D26" s="228"/>
      <c r="E26" s="15"/>
    </row>
    <row r="27" spans="1:7" s="15" customFormat="1">
      <c r="A27" s="171"/>
      <c r="B27" s="29"/>
      <c r="C27" s="36"/>
      <c r="D27" s="228"/>
    </row>
    <row r="28" spans="1:7" s="15" customFormat="1">
      <c r="A28" s="230" t="s">
        <v>736</v>
      </c>
      <c r="B28" s="37">
        <f>aantalHuishoudens</f>
        <v>8624</v>
      </c>
      <c r="C28" s="36"/>
      <c r="D28" s="228"/>
    </row>
    <row r="29" spans="1:7" s="15" customFormat="1">
      <c r="A29" s="230" t="s">
        <v>737</v>
      </c>
      <c r="B29" s="37">
        <f>SUM(HH_hh_gas_aantal,HH_rest_gas_aantal)</f>
        <v>5125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5125</v>
      </c>
      <c r="C32" s="167">
        <f>IF(ISERROR(B32/SUM($B$32,$B$34,$B$35,$B$36,$B$38,$B$39)*100),0,B32/SUM($B$32,$B$34,$B$35,$B$36,$B$38,$B$39)*100)</f>
        <v>59.718014448846425</v>
      </c>
      <c r="D32" s="233"/>
      <c r="G32" s="15"/>
    </row>
    <row r="33" spans="1:7">
      <c r="A33" s="171" t="s">
        <v>71</v>
      </c>
      <c r="B33" s="34" t="s">
        <v>110</v>
      </c>
      <c r="C33" s="167"/>
      <c r="D33" s="233"/>
      <c r="G33" s="15"/>
    </row>
    <row r="34" spans="1:7">
      <c r="A34" s="171" t="s">
        <v>72</v>
      </c>
      <c r="B34" s="33">
        <f>IF((($B$28-$B$32-$B$39-$B$77-$B$38)*C20/100)&lt;0,0,($B$28-$B$32-$B$39-$B$77-$B$38)*C20/100)</f>
        <v>271.80330448465776</v>
      </c>
      <c r="C34" s="167">
        <f>IF(ISERROR(B34/SUM($B$32,$B$34,$B$35,$B$36,$B$38,$B$39)*100),0,B34/SUM($B$32,$B$34,$B$35,$B$36,$B$38,$B$39)*100)</f>
        <v>3.167132422333462</v>
      </c>
      <c r="D34" s="233"/>
      <c r="G34" s="15"/>
    </row>
    <row r="35" spans="1:7">
      <c r="A35" s="171" t="s">
        <v>73</v>
      </c>
      <c r="B35" s="33">
        <f>IF((($B$28-$B$32-$B$39-$B$77-$B$38)*C21/100)&lt;0,0,($B$28-$B$32-$B$39-$B$77-$B$38)*C21/100)</f>
        <v>2102.7883556254915</v>
      </c>
      <c r="C35" s="167">
        <f>IF(ISERROR(B35/SUM($B$32,$B$34,$B$35,$B$36,$B$38,$B$39)*100),0,B35/SUM($B$32,$B$34,$B$35,$B$36,$B$38,$B$39)*100)</f>
        <v>24.502311298362752</v>
      </c>
      <c r="D35" s="233"/>
      <c r="G35" s="15"/>
    </row>
    <row r="36" spans="1:7">
      <c r="A36" s="171" t="s">
        <v>74</v>
      </c>
      <c r="B36" s="33">
        <f>IF((($B$28-$B$32-$B$39-$B$77-$B$38)*C22/100)&lt;0,0,($B$28-$B$32-$B$39-$B$77-$B$38)*C22/100)</f>
        <v>303.40833988985048</v>
      </c>
      <c r="C36" s="167">
        <f>IF(ISERROR(B36/SUM($B$32,$B$34,$B$35,$B$36,$B$38,$B$39)*100),0,B36/SUM($B$32,$B$34,$B$35,$B$36,$B$38,$B$39)*100)</f>
        <v>3.535403634232702</v>
      </c>
      <c r="D36" s="233"/>
      <c r="G36" s="15"/>
    </row>
    <row r="37" spans="1:7">
      <c r="A37" s="171" t="s">
        <v>75</v>
      </c>
      <c r="B37" s="34" t="s">
        <v>110</v>
      </c>
      <c r="C37" s="167"/>
      <c r="D37" s="173"/>
      <c r="G37" s="15"/>
    </row>
    <row r="38" spans="1:7">
      <c r="A38" s="171" t="s">
        <v>76</v>
      </c>
      <c r="B38" s="33">
        <f>IF((B24-(B29-B18)*0.1)&lt;0,0,B24-(B29-B18)*0.1)</f>
        <v>15.5</v>
      </c>
      <c r="C38" s="167">
        <f>IF(ISERROR(B38/SUM($B$32,$B$34,$B$35,$B$36,$B$38,$B$39)*100),0,B38/SUM($B$32,$B$34,$B$35,$B$36,$B$38,$B$39)*100)</f>
        <v>0.18061058028431601</v>
      </c>
      <c r="D38" s="234"/>
      <c r="G38" s="15"/>
    </row>
    <row r="39" spans="1:7">
      <c r="A39" s="171" t="s">
        <v>77</v>
      </c>
      <c r="B39" s="33">
        <f>IF((B25-(B29-B18))&lt;0,0,B25-(B29-B18)*0.9)</f>
        <v>763.5</v>
      </c>
      <c r="C39" s="167">
        <f>IF(ISERROR(B39/SUM($B$32,$B$34,$B$35,$B$36,$B$38,$B$39)*100),0,B39/SUM($B$32,$B$34,$B$35,$B$36,$B$38,$B$39)*100)</f>
        <v>8.8965276159403395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5125</v>
      </c>
      <c r="C44" s="34" t="s">
        <v>110</v>
      </c>
      <c r="D44" s="174"/>
    </row>
    <row r="45" spans="1:7">
      <c r="A45" s="171" t="s">
        <v>71</v>
      </c>
      <c r="B45" s="33" t="str">
        <f t="shared" si="0"/>
        <v>-</v>
      </c>
      <c r="C45" s="34" t="s">
        <v>110</v>
      </c>
      <c r="D45" s="174"/>
    </row>
    <row r="46" spans="1:7">
      <c r="A46" s="171" t="s">
        <v>72</v>
      </c>
      <c r="B46" s="33">
        <f t="shared" si="0"/>
        <v>271.80330448465776</v>
      </c>
      <c r="C46" s="34" t="s">
        <v>110</v>
      </c>
      <c r="D46" s="174"/>
    </row>
    <row r="47" spans="1:7">
      <c r="A47" s="171" t="s">
        <v>73</v>
      </c>
      <c r="B47" s="33">
        <f t="shared" si="0"/>
        <v>2102.7883556254915</v>
      </c>
      <c r="C47" s="34" t="s">
        <v>110</v>
      </c>
      <c r="D47" s="174"/>
    </row>
    <row r="48" spans="1:7">
      <c r="A48" s="171" t="s">
        <v>74</v>
      </c>
      <c r="B48" s="33">
        <f t="shared" si="0"/>
        <v>303.40833988985048</v>
      </c>
      <c r="C48" s="33">
        <f>B48*10</f>
        <v>3034.083398898505</v>
      </c>
      <c r="D48" s="234"/>
    </row>
    <row r="49" spans="1:6">
      <c r="A49" s="171" t="s">
        <v>75</v>
      </c>
      <c r="B49" s="33" t="str">
        <f t="shared" si="0"/>
        <v>-</v>
      </c>
      <c r="C49" s="34" t="s">
        <v>110</v>
      </c>
      <c r="D49" s="234"/>
    </row>
    <row r="50" spans="1:6">
      <c r="A50" s="171" t="s">
        <v>76</v>
      </c>
      <c r="B50" s="33">
        <f t="shared" si="0"/>
        <v>15.5</v>
      </c>
      <c r="C50" s="33">
        <f>B50*2</f>
        <v>31</v>
      </c>
      <c r="D50" s="234"/>
    </row>
    <row r="51" spans="1:6">
      <c r="A51" s="171" t="s">
        <v>77</v>
      </c>
      <c r="B51" s="33">
        <f t="shared" si="0"/>
        <v>763.5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233</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42</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25778.591000000004</v>
      </c>
      <c r="C5" s="17">
        <f>IF(ISERROR('Eigen informatie GS &amp; warmtenet'!B58),0,'Eigen informatie GS &amp; warmtenet'!B58)</f>
        <v>0</v>
      </c>
      <c r="D5" s="30">
        <f>SUM(D6:D12)</f>
        <v>44289.7785</v>
      </c>
      <c r="E5" s="17">
        <f>SUM(E6:E12)</f>
        <v>232.37522122790398</v>
      </c>
      <c r="F5" s="17">
        <f>SUM(F6:F12)</f>
        <v>3790.0216447347025</v>
      </c>
      <c r="G5" s="18"/>
      <c r="H5" s="17"/>
      <c r="I5" s="17"/>
      <c r="J5" s="17">
        <f>SUM(J6:J12)</f>
        <v>0</v>
      </c>
      <c r="K5" s="17"/>
      <c r="L5" s="17"/>
      <c r="M5" s="17"/>
      <c r="N5" s="17">
        <f>SUM(N6:N12)</f>
        <v>1366.3189263508298</v>
      </c>
      <c r="O5" s="17">
        <f>B38*B39*B40</f>
        <v>7.8166666666666664</v>
      </c>
      <c r="P5" s="17">
        <f>B46*B47*B48/1000-B46*B47*B48/1000/B49</f>
        <v>38.133333333333333</v>
      </c>
      <c r="R5" s="32"/>
    </row>
    <row r="6" spans="1:18">
      <c r="A6" s="32" t="s">
        <v>53</v>
      </c>
      <c r="B6" s="37">
        <f>B26</f>
        <v>6181.0370000000003</v>
      </c>
      <c r="C6" s="33"/>
      <c r="D6" s="37">
        <f>IF(ISERROR(TER_kantoor_gas_kWh/1000),0,TER_kantoor_gas_kWh/1000)*0.902</f>
        <v>13730.247608000001</v>
      </c>
      <c r="E6" s="33">
        <f>$C$26*'E Balans VL '!I12/100/3.6*1000000</f>
        <v>17.907371075717723</v>
      </c>
      <c r="F6" s="33">
        <f>$C$26*('E Balans VL '!L12+'E Balans VL '!N12)/100/3.6*1000000</f>
        <v>699.55720959662801</v>
      </c>
      <c r="G6" s="34"/>
      <c r="H6" s="33"/>
      <c r="I6" s="33"/>
      <c r="J6" s="33">
        <f>$C$26*('E Balans VL '!D12+'E Balans VL '!E12)/100/3.6*1000000</f>
        <v>0</v>
      </c>
      <c r="K6" s="33"/>
      <c r="L6" s="33"/>
      <c r="M6" s="33"/>
      <c r="N6" s="33">
        <f>$C$26*'E Balans VL '!Y12/100/3.6*1000000</f>
        <v>61.867625978590425</v>
      </c>
      <c r="O6" s="33"/>
      <c r="P6" s="33"/>
      <c r="R6" s="32"/>
    </row>
    <row r="7" spans="1:18">
      <c r="A7" s="32" t="s">
        <v>52</v>
      </c>
      <c r="B7" s="37">
        <f t="shared" ref="B7:B12" si="0">B27</f>
        <v>2424.547</v>
      </c>
      <c r="C7" s="33"/>
      <c r="D7" s="37">
        <f>IF(ISERROR(TER_horeca_gas_kWh/1000),0,TER_horeca_gas_kWh/1000)*0.902</f>
        <v>2280.3804759999998</v>
      </c>
      <c r="E7" s="33">
        <f>$C$27*'E Balans VL '!I9/100/3.6*1000000</f>
        <v>101.7757090095632</v>
      </c>
      <c r="F7" s="33">
        <f>$C$27*('E Balans VL '!L9+'E Balans VL '!N9)/100/3.6*1000000</f>
        <v>520.96364296901288</v>
      </c>
      <c r="G7" s="34"/>
      <c r="H7" s="33"/>
      <c r="I7" s="33"/>
      <c r="J7" s="33">
        <f>$C$27*('E Balans VL '!D9+'E Balans VL '!E9)/100/3.6*1000000</f>
        <v>0</v>
      </c>
      <c r="K7" s="33"/>
      <c r="L7" s="33"/>
      <c r="M7" s="33"/>
      <c r="N7" s="33">
        <f>$C$27*'E Balans VL '!Y9/100/3.6*1000000</f>
        <v>0.62478455846728154</v>
      </c>
      <c r="O7" s="33"/>
      <c r="P7" s="33"/>
      <c r="R7" s="32"/>
    </row>
    <row r="8" spans="1:18">
      <c r="A8" s="6" t="s">
        <v>51</v>
      </c>
      <c r="B8" s="37">
        <f t="shared" si="0"/>
        <v>9527.7180000000008</v>
      </c>
      <c r="C8" s="33"/>
      <c r="D8" s="37">
        <f>IF(ISERROR(TER_handel_gas_kWh/1000),0,TER_handel_gas_kWh/1000)*0.902</f>
        <v>5571.769456</v>
      </c>
      <c r="E8" s="33">
        <f>$C$28*'E Balans VL '!I13/100/3.6*1000000</f>
        <v>102.33562101427724</v>
      </c>
      <c r="F8" s="33">
        <f>$C$28*('E Balans VL '!L13+'E Balans VL '!N13)/100/3.6*1000000</f>
        <v>1233.441773373308</v>
      </c>
      <c r="G8" s="34"/>
      <c r="H8" s="33"/>
      <c r="I8" s="33"/>
      <c r="J8" s="33">
        <f>$C$28*('E Balans VL '!D13+'E Balans VL '!E13)/100/3.6*1000000</f>
        <v>0</v>
      </c>
      <c r="K8" s="33"/>
      <c r="L8" s="33"/>
      <c r="M8" s="33"/>
      <c r="N8" s="33">
        <f>$C$28*'E Balans VL '!Y13/100/3.6*1000000</f>
        <v>77.289368652022432</v>
      </c>
      <c r="O8" s="33"/>
      <c r="P8" s="33"/>
      <c r="R8" s="32"/>
    </row>
    <row r="9" spans="1:18">
      <c r="A9" s="32" t="s">
        <v>50</v>
      </c>
      <c r="B9" s="37">
        <f t="shared" si="0"/>
        <v>4281.8900000000003</v>
      </c>
      <c r="C9" s="33"/>
      <c r="D9" s="37">
        <f>IF(ISERROR(TER_gezond_gas_kWh/1000),0,TER_gezond_gas_kWh/1000)*0.902</f>
        <v>7190.1342480000003</v>
      </c>
      <c r="E9" s="33">
        <f>$C$29*'E Balans VL '!I10/100/3.6*1000000</f>
        <v>3.4086613852256193</v>
      </c>
      <c r="F9" s="33">
        <f>$C$29*('E Balans VL '!L10+'E Balans VL '!N10)/100/3.6*1000000</f>
        <v>520.5256083839563</v>
      </c>
      <c r="G9" s="34"/>
      <c r="H9" s="33"/>
      <c r="I9" s="33"/>
      <c r="J9" s="33">
        <f>$C$29*('E Balans VL '!D10+'E Balans VL '!E10)/100/3.6*1000000</f>
        <v>0</v>
      </c>
      <c r="K9" s="33"/>
      <c r="L9" s="33"/>
      <c r="M9" s="33"/>
      <c r="N9" s="33">
        <f>$C$29*'E Balans VL '!Y10/100/3.6*1000000</f>
        <v>34.587973007779595</v>
      </c>
      <c r="O9" s="33"/>
      <c r="P9" s="33"/>
      <c r="R9" s="32"/>
    </row>
    <row r="10" spans="1:18">
      <c r="A10" s="32" t="s">
        <v>49</v>
      </c>
      <c r="B10" s="37">
        <f t="shared" si="0"/>
        <v>1689.77</v>
      </c>
      <c r="C10" s="33"/>
      <c r="D10" s="37">
        <f>IF(ISERROR(TER_ander_gas_kWh/1000),0,TER_ander_gas_kWh/1000)*0.902</f>
        <v>6704.8230700000004</v>
      </c>
      <c r="E10" s="33">
        <f>$C$30*'E Balans VL '!I14/100/3.6*1000000</f>
        <v>5.7909305591368438</v>
      </c>
      <c r="F10" s="33">
        <f>$C$30*('E Balans VL '!L14+'E Balans VL '!N14)/100/3.6*1000000</f>
        <v>377.42595383559836</v>
      </c>
      <c r="G10" s="34"/>
      <c r="H10" s="33"/>
      <c r="I10" s="33"/>
      <c r="J10" s="33">
        <f>$C$30*('E Balans VL '!D14+'E Balans VL '!E14)/100/3.6*1000000</f>
        <v>0</v>
      </c>
      <c r="K10" s="33"/>
      <c r="L10" s="33"/>
      <c r="M10" s="33"/>
      <c r="N10" s="33">
        <f>$C$30*'E Balans VL '!Y14/100/3.6*1000000</f>
        <v>1190.2832190330682</v>
      </c>
      <c r="O10" s="33"/>
      <c r="P10" s="33"/>
      <c r="R10" s="32"/>
    </row>
    <row r="11" spans="1:18">
      <c r="A11" s="32" t="s">
        <v>54</v>
      </c>
      <c r="B11" s="37">
        <f t="shared" si="0"/>
        <v>1673.6289999999999</v>
      </c>
      <c r="C11" s="33"/>
      <c r="D11" s="37">
        <f>IF(ISERROR(TER_onderwijs_gas_kWh/1000),0,TER_onderwijs_gas_kWh/1000)*0.902</f>
        <v>8812.4236419999997</v>
      </c>
      <c r="E11" s="33">
        <f>$C$31*'E Balans VL '!I11/100/3.6*1000000</f>
        <v>1.1569281839833545</v>
      </c>
      <c r="F11" s="33">
        <f>$C$31*('E Balans VL '!L11+'E Balans VL '!N11)/100/3.6*1000000</f>
        <v>438.1074565761993</v>
      </c>
      <c r="G11" s="34"/>
      <c r="H11" s="33"/>
      <c r="I11" s="33"/>
      <c r="J11" s="33">
        <f>$C$31*('E Balans VL '!D11+'E Balans VL '!E11)/100/3.6*1000000</f>
        <v>0</v>
      </c>
      <c r="K11" s="33"/>
      <c r="L11" s="33"/>
      <c r="M11" s="33"/>
      <c r="N11" s="33">
        <f>$C$31*'E Balans VL '!Y11/100/3.6*1000000</f>
        <v>1.6659551209017482</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25778.591000000004</v>
      </c>
      <c r="C16" s="21">
        <f t="shared" ca="1" si="1"/>
        <v>0</v>
      </c>
      <c r="D16" s="21">
        <f t="shared" ca="1" si="1"/>
        <v>44289.7785</v>
      </c>
      <c r="E16" s="21">
        <f t="shared" si="1"/>
        <v>232.37522122790398</v>
      </c>
      <c r="F16" s="21">
        <f t="shared" ca="1" si="1"/>
        <v>3790.0216447347025</v>
      </c>
      <c r="G16" s="21">
        <f t="shared" si="1"/>
        <v>0</v>
      </c>
      <c r="H16" s="21">
        <f t="shared" si="1"/>
        <v>0</v>
      </c>
      <c r="I16" s="21">
        <f t="shared" si="1"/>
        <v>0</v>
      </c>
      <c r="J16" s="21">
        <f t="shared" si="1"/>
        <v>0</v>
      </c>
      <c r="K16" s="21">
        <f t="shared" si="1"/>
        <v>0</v>
      </c>
      <c r="L16" s="21">
        <f t="shared" ca="1" si="1"/>
        <v>0</v>
      </c>
      <c r="M16" s="21">
        <f t="shared" si="1"/>
        <v>0</v>
      </c>
      <c r="N16" s="21">
        <f t="shared" ca="1" si="1"/>
        <v>1366.3189263508298</v>
      </c>
      <c r="O16" s="21">
        <f>O5</f>
        <v>7.8166666666666664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0.20578290272852379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5304.7932842313994</v>
      </c>
      <c r="C20" s="23">
        <f t="shared" ref="C20:P20" ca="1" si="2">C16*C18</f>
        <v>0</v>
      </c>
      <c r="D20" s="23">
        <f t="shared" ca="1" si="2"/>
        <v>8946.5352570000014</v>
      </c>
      <c r="E20" s="23">
        <f t="shared" si="2"/>
        <v>52.749175218734202</v>
      </c>
      <c r="F20" s="23">
        <f t="shared" ca="1" si="2"/>
        <v>1011.9357791441656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6181.0370000000003</v>
      </c>
      <c r="C26" s="39">
        <f>IF(ISERROR(B26*3.6/1000000/'E Balans VL '!Z12*100),0,B26*3.6/1000000/'E Balans VL '!Z12*100)</f>
        <v>0.13577362369935217</v>
      </c>
      <c r="D26" s="237" t="s">
        <v>691</v>
      </c>
      <c r="F26" s="6"/>
    </row>
    <row r="27" spans="1:18">
      <c r="A27" s="231" t="s">
        <v>52</v>
      </c>
      <c r="B27" s="33">
        <f>IF(ISERROR(TER_horeca_ele_kWh/1000),0,TER_horeca_ele_kWh/1000)</f>
        <v>2424.547</v>
      </c>
      <c r="C27" s="39">
        <f>IF(ISERROR(B27*3.6/1000000/'E Balans VL '!Z9*100),0,B27*3.6/1000000/'E Balans VL '!Z9*100)</f>
        <v>0.19483651961994819</v>
      </c>
      <c r="D27" s="237" t="s">
        <v>691</v>
      </c>
      <c r="F27" s="6"/>
    </row>
    <row r="28" spans="1:18">
      <c r="A28" s="171" t="s">
        <v>51</v>
      </c>
      <c r="B28" s="33">
        <f>IF(ISERROR(TER_handel_ele_kWh/1000),0,TER_handel_ele_kWh/1000)</f>
        <v>9527.7180000000008</v>
      </c>
      <c r="C28" s="39">
        <f>IF(ISERROR(B28*3.6/1000000/'E Balans VL '!Z13*100),0,B28*3.6/1000000/'E Balans VL '!Z13*100)</f>
        <v>0.28172796505644776</v>
      </c>
      <c r="D28" s="237" t="s">
        <v>691</v>
      </c>
      <c r="F28" s="6"/>
    </row>
    <row r="29" spans="1:18">
      <c r="A29" s="231" t="s">
        <v>50</v>
      </c>
      <c r="B29" s="33">
        <f>IF(ISERROR(TER_gezond_ele_kWh/1000),0,TER_gezond_ele_kWh/1000)</f>
        <v>4281.8900000000003</v>
      </c>
      <c r="C29" s="39">
        <f>IF(ISERROR(B29*3.6/1000000/'E Balans VL '!Z10*100),0,B29*3.6/1000000/'E Balans VL '!Z10*100)</f>
        <v>0.48245845434508866</v>
      </c>
      <c r="D29" s="237" t="s">
        <v>691</v>
      </c>
      <c r="F29" s="6"/>
    </row>
    <row r="30" spans="1:18">
      <c r="A30" s="231" t="s">
        <v>49</v>
      </c>
      <c r="B30" s="33">
        <f>IF(ISERROR(TER_ander_ele_kWh/1000),0,TER_ander_ele_kWh/1000)</f>
        <v>1689.77</v>
      </c>
      <c r="C30" s="39">
        <f>IF(ISERROR(B30*3.6/1000000/'E Balans VL '!Z14*100),0,B30*3.6/1000000/'E Balans VL '!Z14*100)</f>
        <v>0.12779441656866014</v>
      </c>
      <c r="D30" s="237" t="s">
        <v>691</v>
      </c>
      <c r="F30" s="6"/>
    </row>
    <row r="31" spans="1:18">
      <c r="A31" s="231" t="s">
        <v>54</v>
      </c>
      <c r="B31" s="33">
        <f>IF(ISERROR(TER_onderwijs_ele_kWh/1000),0,TER_onderwijs_ele_kWh/1000)</f>
        <v>1673.6289999999999</v>
      </c>
      <c r="C31" s="39">
        <f>IF(ISERROR(B31*3.6/1000000/'E Balans VL '!Z11*100),0,B31*3.6/1000000/'E Balans VL '!Z11*100)</f>
        <v>0.34740652877068195</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5</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15007.71386175115</v>
      </c>
      <c r="C5" s="17">
        <f>IF(ISERROR('Eigen informatie GS &amp; warmtenet'!B59),0,'Eigen informatie GS &amp; warmtenet'!B59)</f>
        <v>0</v>
      </c>
      <c r="D5" s="30">
        <f>SUM(D6:D15)</f>
        <v>9464.7112559999987</v>
      </c>
      <c r="E5" s="17">
        <f>SUM(E6:E15)</f>
        <v>668.62765478789504</v>
      </c>
      <c r="F5" s="17">
        <f>SUM(F6:F15)</f>
        <v>23300.898339105872</v>
      </c>
      <c r="G5" s="18"/>
      <c r="H5" s="17"/>
      <c r="I5" s="17"/>
      <c r="J5" s="17">
        <f>SUM(J6:J15)</f>
        <v>273.38609003550192</v>
      </c>
      <c r="K5" s="17"/>
      <c r="L5" s="17"/>
      <c r="M5" s="17"/>
      <c r="N5" s="17">
        <f>SUM(N6:N15)</f>
        <v>6195.7767141186405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746.495</v>
      </c>
      <c r="C8" s="33"/>
      <c r="D8" s="37">
        <f>IF( ISERROR(IND_metaal_Gas_kWH/1000),0,IND_metaal_Gas_kWH/1000)*0.902</f>
        <v>369.40327600000001</v>
      </c>
      <c r="E8" s="33">
        <f>C30*'E Balans VL '!I18/100/3.6*1000000</f>
        <v>18.682157173472945</v>
      </c>
      <c r="F8" s="33">
        <f>C30*'E Balans VL '!L18/100/3.6*1000000+C30*'E Balans VL '!N18/100/3.6*1000000</f>
        <v>233.95524625709524</v>
      </c>
      <c r="G8" s="34"/>
      <c r="H8" s="33"/>
      <c r="I8" s="33"/>
      <c r="J8" s="40">
        <f>C30*'E Balans VL '!D18/100/3.6*1000000+C30*'E Balans VL '!E18/100/3.6*1000000</f>
        <v>0</v>
      </c>
      <c r="K8" s="33"/>
      <c r="L8" s="33"/>
      <c r="M8" s="33"/>
      <c r="N8" s="33">
        <f>C30*'E Balans VL '!Y18/100/3.6*1000000</f>
        <v>18.75389172346091</v>
      </c>
      <c r="O8" s="33"/>
      <c r="P8" s="33"/>
      <c r="R8" s="32"/>
    </row>
    <row r="9" spans="1:18">
      <c r="A9" s="6" t="s">
        <v>32</v>
      </c>
      <c r="B9" s="37">
        <f t="shared" si="0"/>
        <v>1931.7118617511519</v>
      </c>
      <c r="C9" s="33"/>
      <c r="D9" s="37">
        <f>IF( ISERROR(IND_andere_gas_kWh/1000),0,IND_andere_gas_kWh/1000)*0.902</f>
        <v>1735.922452</v>
      </c>
      <c r="E9" s="33">
        <f>C31*'E Balans VL '!I19/100/3.6*1000000</f>
        <v>531.14153271216503</v>
      </c>
      <c r="F9" s="33">
        <f>C31*'E Balans VL '!L19/100/3.6*1000000+C31*'E Balans VL '!N19/100/3.6*1000000</f>
        <v>1522.5250890581619</v>
      </c>
      <c r="G9" s="34"/>
      <c r="H9" s="33"/>
      <c r="I9" s="33"/>
      <c r="J9" s="40">
        <f>C31*'E Balans VL '!D19/100/3.6*1000000+C31*'E Balans VL '!E19/100/3.6*1000000</f>
        <v>0</v>
      </c>
      <c r="K9" s="33"/>
      <c r="L9" s="33"/>
      <c r="M9" s="33"/>
      <c r="N9" s="33">
        <f>C31*'E Balans VL '!Y19/100/3.6*1000000</f>
        <v>155.61992486147494</v>
      </c>
      <c r="O9" s="33"/>
      <c r="P9" s="33"/>
      <c r="R9" s="32"/>
    </row>
    <row r="10" spans="1:18">
      <c r="A10" s="6" t="s">
        <v>40</v>
      </c>
      <c r="B10" s="37">
        <f t="shared" si="0"/>
        <v>11391.159</v>
      </c>
      <c r="C10" s="33"/>
      <c r="D10" s="37">
        <f>IF( ISERROR(IND_voed_gas_kWh/1000),0,IND_voed_gas_kWh/1000)*0.902</f>
        <v>6714.0433139999996</v>
      </c>
      <c r="E10" s="33">
        <f>C32*'E Balans VL '!I20/100/3.6*1000000</f>
        <v>116.12659057969917</v>
      </c>
      <c r="F10" s="33">
        <f>C32*'E Balans VL '!L20/100/3.6*1000000+C32*'E Balans VL '!N20/100/3.6*1000000</f>
        <v>21517.828106177789</v>
      </c>
      <c r="G10" s="34"/>
      <c r="H10" s="33"/>
      <c r="I10" s="33"/>
      <c r="J10" s="40">
        <f>C32*'E Balans VL '!D20/100/3.6*1000000+C32*'E Balans VL '!E20/100/3.6*1000000</f>
        <v>272.62770691099337</v>
      </c>
      <c r="K10" s="33"/>
      <c r="L10" s="33"/>
      <c r="M10" s="33"/>
      <c r="N10" s="33">
        <f>C32*'E Balans VL '!Y20/100/3.6*1000000</f>
        <v>6004.4528936223414</v>
      </c>
      <c r="O10" s="33"/>
      <c r="P10" s="33"/>
      <c r="R10" s="32"/>
    </row>
    <row r="11" spans="1:18">
      <c r="A11" s="6" t="s">
        <v>39</v>
      </c>
      <c r="B11" s="37">
        <f t="shared" si="0"/>
        <v>120.523</v>
      </c>
      <c r="C11" s="33"/>
      <c r="D11" s="37">
        <f>IF( ISERROR(IND_textiel_gas_kWh/1000),0,IND_textiel_gas_kWh/1000)*0.902</f>
        <v>62.555504000000006</v>
      </c>
      <c r="E11" s="33">
        <f>C33*'E Balans VL '!I21/100/3.6*1000000</f>
        <v>0.31944491196104635</v>
      </c>
      <c r="F11" s="33">
        <f>C33*'E Balans VL '!L21/100/3.6*1000000+C33*'E Balans VL '!N21/100/3.6*1000000</f>
        <v>5.3826815087322615</v>
      </c>
      <c r="G11" s="34"/>
      <c r="H11" s="33"/>
      <c r="I11" s="33"/>
      <c r="J11" s="40">
        <f>C33*'E Balans VL '!D21/100/3.6*1000000+C33*'E Balans VL '!E21/100/3.6*1000000</f>
        <v>0</v>
      </c>
      <c r="K11" s="33"/>
      <c r="L11" s="33"/>
      <c r="M11" s="33"/>
      <c r="N11" s="33">
        <f>C33*'E Balans VL '!Y21/100/3.6*1000000</f>
        <v>1.135843120084296</v>
      </c>
      <c r="O11" s="33"/>
      <c r="P11" s="33"/>
      <c r="R11" s="32"/>
    </row>
    <row r="12" spans="1:18">
      <c r="A12" s="6" t="s">
        <v>36</v>
      </c>
      <c r="B12" s="37">
        <f t="shared" si="0"/>
        <v>511.46100000000001</v>
      </c>
      <c r="C12" s="33"/>
      <c r="D12" s="37">
        <f>IF( ISERROR(IND_min_gas_kWh/1000),0,IND_min_gas_kWh/1000)*0.902</f>
        <v>0</v>
      </c>
      <c r="E12" s="33">
        <f>C34*'E Balans VL '!I22/100/3.6*1000000</f>
        <v>1.5489840081166013</v>
      </c>
      <c r="F12" s="33">
        <f>C34*'E Balans VL '!L22/100/3.6*1000000+C34*'E Balans VL '!N22/100/3.6*1000000</f>
        <v>15.983595971488002</v>
      </c>
      <c r="G12" s="34"/>
      <c r="H12" s="33"/>
      <c r="I12" s="33"/>
      <c r="J12" s="40">
        <f>C34*'E Balans VL '!D22/100/3.6*1000000+C34*'E Balans VL '!E22/100/3.6*1000000</f>
        <v>0.75838312450852885</v>
      </c>
      <c r="K12" s="33"/>
      <c r="L12" s="33"/>
      <c r="M12" s="33"/>
      <c r="N12" s="33">
        <f>C34*'E Balans VL '!Y22/100/3.6*1000000</f>
        <v>0</v>
      </c>
      <c r="O12" s="33"/>
      <c r="P12" s="33"/>
      <c r="R12" s="32"/>
    </row>
    <row r="13" spans="1:18">
      <c r="A13" s="6" t="s">
        <v>38</v>
      </c>
      <c r="B13" s="37">
        <f t="shared" si="0"/>
        <v>202.41</v>
      </c>
      <c r="C13" s="33"/>
      <c r="D13" s="37">
        <f>IF( ISERROR(IND_papier_gas_kWh/1000),0,IND_papier_gas_kWh/1000)*0.902</f>
        <v>385.993762</v>
      </c>
      <c r="E13" s="33">
        <f>C35*'E Balans VL '!I23/100/3.6*1000000</f>
        <v>0.4192047723460165</v>
      </c>
      <c r="F13" s="33">
        <f>C35*'E Balans VL '!L23/100/3.6*1000000+C35*'E Balans VL '!N23/100/3.6*1000000</f>
        <v>4.0142242325507018</v>
      </c>
      <c r="G13" s="34"/>
      <c r="H13" s="33"/>
      <c r="I13" s="33"/>
      <c r="J13" s="40">
        <f>C35*'E Balans VL '!D23/100/3.6*1000000+C35*'E Balans VL '!E23/100/3.6*1000000</f>
        <v>0</v>
      </c>
      <c r="K13" s="33"/>
      <c r="L13" s="33"/>
      <c r="M13" s="33"/>
      <c r="N13" s="33">
        <f>C35*'E Balans VL '!Y23/100/3.6*1000000</f>
        <v>14.03815659083206</v>
      </c>
      <c r="O13" s="33"/>
      <c r="P13" s="33"/>
      <c r="R13" s="32"/>
    </row>
    <row r="14" spans="1:18">
      <c r="A14" s="6" t="s">
        <v>33</v>
      </c>
      <c r="B14" s="37">
        <f t="shared" si="0"/>
        <v>103.95399999999999</v>
      </c>
      <c r="C14" s="33"/>
      <c r="D14" s="37">
        <f>IF( ISERROR(IND_chemie_gas_kWh/1000),0,IND_chemie_gas_kWh/1000)*0.902</f>
        <v>0</v>
      </c>
      <c r="E14" s="33">
        <f>C36*'E Balans VL '!I24/100/3.6*1000000</f>
        <v>0.38974063013426979</v>
      </c>
      <c r="F14" s="33">
        <f>C36*'E Balans VL '!L24/100/3.6*1000000+C36*'E Balans VL '!N24/100/3.6*1000000</f>
        <v>1.209395900060064</v>
      </c>
      <c r="G14" s="34"/>
      <c r="H14" s="33"/>
      <c r="I14" s="33"/>
      <c r="J14" s="40">
        <f>C36*'E Balans VL '!D24/100/3.6*1000000+C36*'E Balans VL '!E24/100/3.6*1000000</f>
        <v>0</v>
      </c>
      <c r="K14" s="33"/>
      <c r="L14" s="33"/>
      <c r="M14" s="33"/>
      <c r="N14" s="33">
        <f>C36*'E Balans VL '!Y24/100/3.6*1000000</f>
        <v>1.7760042004476118</v>
      </c>
      <c r="O14" s="33"/>
      <c r="P14" s="33"/>
      <c r="R14" s="32"/>
    </row>
    <row r="15" spans="1:18">
      <c r="A15" s="6" t="s">
        <v>269</v>
      </c>
      <c r="B15" s="37">
        <f t="shared" si="0"/>
        <v>0</v>
      </c>
      <c r="C15" s="33"/>
      <c r="D15" s="37">
        <f>IF( ISERROR(IND_rest_gas_kWh/1000),0,IND_rest_gas_kWh/1000)*0.902</f>
        <v>196.79294800000002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15007.71386175115</v>
      </c>
      <c r="C18" s="21">
        <f>C5+C16</f>
        <v>0</v>
      </c>
      <c r="D18" s="21">
        <f>MAX((D5+D16),0)</f>
        <v>9464.7112559999987</v>
      </c>
      <c r="E18" s="21">
        <f>MAX((E5+E16),0)</f>
        <v>668.62765478789504</v>
      </c>
      <c r="F18" s="21">
        <f>MAX((F5+F16),0)</f>
        <v>23300.898339105872</v>
      </c>
      <c r="G18" s="21"/>
      <c r="H18" s="21"/>
      <c r="I18" s="21"/>
      <c r="J18" s="21">
        <f>MAX((J5+J16),0)</f>
        <v>273.38609003550192</v>
      </c>
      <c r="K18" s="21"/>
      <c r="L18" s="21">
        <f>MAX((L5+L16),0)</f>
        <v>0</v>
      </c>
      <c r="M18" s="21"/>
      <c r="N18" s="21">
        <f>MAX((N5+N16),0)</f>
        <v>6195.7767141186405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0.20578290272852379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3088.3309217902552</v>
      </c>
      <c r="C22" s="23">
        <f ca="1">C18*C20</f>
        <v>0</v>
      </c>
      <c r="D22" s="23">
        <f>D18*D20</f>
        <v>1911.8716737119998</v>
      </c>
      <c r="E22" s="23">
        <f>E18*E20</f>
        <v>151.77847763685219</v>
      </c>
      <c r="F22" s="23">
        <f>F18*F20</f>
        <v>6221.3398565412681</v>
      </c>
      <c r="G22" s="23"/>
      <c r="H22" s="23"/>
      <c r="I22" s="23"/>
      <c r="J22" s="23">
        <f>J18*J20</f>
        <v>96.778675872567675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746.495</v>
      </c>
      <c r="C30" s="39">
        <f>IF(ISERROR(B30*3.6/1000000/'E Balans VL '!Z18*100),0,B30*3.6/1000000/'E Balans VL '!Z18*100)</f>
        <v>0.10448442277929874</v>
      </c>
      <c r="D30" s="237" t="s">
        <v>691</v>
      </c>
    </row>
    <row r="31" spans="1:18">
      <c r="A31" s="6" t="s">
        <v>32</v>
      </c>
      <c r="B31" s="37">
        <f>IF( ISERROR(IND_ander_ele_kWh/1000),0,IND_ander_ele_kWh/1000)</f>
        <v>1931.7118617511519</v>
      </c>
      <c r="C31" s="39">
        <f>IF(ISERROR(B31*3.6/1000000/'E Balans VL '!Z19*100),0,B31*3.6/1000000/'E Balans VL '!Z19*100)</f>
        <v>8.4550714820662357E-2</v>
      </c>
      <c r="D31" s="237" t="s">
        <v>691</v>
      </c>
    </row>
    <row r="32" spans="1:18">
      <c r="A32" s="171" t="s">
        <v>40</v>
      </c>
      <c r="B32" s="37">
        <f>IF( ISERROR(IND_voed_ele_kWh/1000),0,IND_voed_ele_kWh/1000)</f>
        <v>11391.159</v>
      </c>
      <c r="C32" s="39">
        <f>IF(ISERROR(B32*3.6/1000000/'E Balans VL '!Z20*100),0,B32*3.6/1000000/'E Balans VL '!Z20*100)</f>
        <v>2.8200726866685382</v>
      </c>
      <c r="D32" s="237" t="s">
        <v>691</v>
      </c>
    </row>
    <row r="33" spans="1:5">
      <c r="A33" s="171" t="s">
        <v>39</v>
      </c>
      <c r="B33" s="37">
        <f>IF( ISERROR(IND_textiel_ele_kWh/1000),0,IND_textiel_ele_kWh/1000)</f>
        <v>120.523</v>
      </c>
      <c r="C33" s="39">
        <f>IF(ISERROR(B33*3.6/1000000/'E Balans VL '!Z21*100),0,B33*3.6/1000000/'E Balans VL '!Z21*100)</f>
        <v>1.3580819067795456E-2</v>
      </c>
      <c r="D33" s="237" t="s">
        <v>691</v>
      </c>
    </row>
    <row r="34" spans="1:5">
      <c r="A34" s="171" t="s">
        <v>36</v>
      </c>
      <c r="B34" s="37">
        <f>IF( ISERROR(IND_min_ele_kWh/1000),0,IND_min_ele_kWh/1000)</f>
        <v>511.46100000000001</v>
      </c>
      <c r="C34" s="39">
        <f>IF(ISERROR(B34*3.6/1000000/'E Balans VL '!Z22*100),0,B34*3.6/1000000/'E Balans VL '!Z22*100)</f>
        <v>1.45131765312658E-2</v>
      </c>
      <c r="D34" s="237" t="s">
        <v>691</v>
      </c>
    </row>
    <row r="35" spans="1:5">
      <c r="A35" s="171" t="s">
        <v>38</v>
      </c>
      <c r="B35" s="37">
        <f>IF( ISERROR(IND_papier_ele_kWh/1000),0,IND_papier_ele_kWh/1000)</f>
        <v>202.41</v>
      </c>
      <c r="C35" s="39">
        <f>IF(ISERROR(B35*3.6/1000000/'E Balans VL '!Z22*100),0,B35*3.6/1000000/'E Balans VL '!Z22*100)</f>
        <v>5.743570011581549E-3</v>
      </c>
      <c r="D35" s="237" t="s">
        <v>691</v>
      </c>
    </row>
    <row r="36" spans="1:5">
      <c r="A36" s="171" t="s">
        <v>33</v>
      </c>
      <c r="B36" s="37">
        <f>IF( ISERROR(IND_chemie_ele_kWh/1000),0,IND_chemie_ele_kWh/1000)</f>
        <v>103.95399999999999</v>
      </c>
      <c r="C36" s="39">
        <f>IF(ISERROR(B36*3.6/1000000/'E Balans VL '!Z24*100),0,B36*3.6/1000000/'E Balans VL '!Z24*100)</f>
        <v>2.6506683311719268E-3</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3262.373</v>
      </c>
      <c r="C5" s="17">
        <f>'Eigen informatie GS &amp; warmtenet'!B60</f>
        <v>0</v>
      </c>
      <c r="D5" s="30">
        <f>IF(ISERROR(SUM(LB_lb_gas_kWh,LB_rest_gas_kWh)/1000),0,SUM(LB_lb_gas_kWh,LB_rest_gas_kWh)/1000)*0.902</f>
        <v>388.75117599999999</v>
      </c>
      <c r="E5" s="17">
        <f>B17*'E Balans VL '!I25/3.6*1000000/100</f>
        <v>30.2174651334152</v>
      </c>
      <c r="F5" s="17">
        <f>B17*('E Balans VL '!L25/3.6*1000000+'E Balans VL '!N25/3.6*1000000)/100</f>
        <v>8277.2617824187237</v>
      </c>
      <c r="G5" s="18"/>
      <c r="H5" s="17"/>
      <c r="I5" s="17"/>
      <c r="J5" s="17">
        <f>('E Balans VL '!D25+'E Balans VL '!E25)/3.6*1000000*landbouw!B17/100</f>
        <v>500.15818908894079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3262.373</v>
      </c>
      <c r="C8" s="21">
        <f>C5+C6</f>
        <v>0</v>
      </c>
      <c r="D8" s="21">
        <f>MAX((D5+D6),0)</f>
        <v>388.75117599999999</v>
      </c>
      <c r="E8" s="21">
        <f>MAX((E5+E6),0)</f>
        <v>30.2174651334152</v>
      </c>
      <c r="F8" s="21">
        <f>MAX((F5+F6),0)</f>
        <v>8277.2617824187237</v>
      </c>
      <c r="G8" s="21"/>
      <c r="H8" s="21"/>
      <c r="I8" s="21"/>
      <c r="J8" s="21">
        <f>MAX((J5+J6),0)</f>
        <v>500.15818908894079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0.20578290272852379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671.34058572316235</v>
      </c>
      <c r="C12" s="23">
        <f ca="1">C8*C10</f>
        <v>0</v>
      </c>
      <c r="D12" s="23">
        <f>D8*D10</f>
        <v>78.527737552000005</v>
      </c>
      <c r="E12" s="23">
        <f>E8*E10</f>
        <v>6.8593645852852507</v>
      </c>
      <c r="F12" s="23">
        <f>F8*F10</f>
        <v>2210.0288959057993</v>
      </c>
      <c r="G12" s="23"/>
      <c r="H12" s="23"/>
      <c r="I12" s="23"/>
      <c r="J12" s="23">
        <f>J8*J10</f>
        <v>177.05599893748504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0.46384026633569275</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621.52783072586658</v>
      </c>
      <c r="C26" s="247">
        <f>B26*'GWP N2O_CH4'!B5</f>
        <v>13052.084445243197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523.89353841150967</v>
      </c>
      <c r="C27" s="247">
        <f>B27*'GWP N2O_CH4'!B5</f>
        <v>11001.764306641702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9.3997673581410695</v>
      </c>
      <c r="C28" s="247">
        <f>B28*'GWP N2O_CH4'!B4</f>
        <v>2913.9278810237315</v>
      </c>
      <c r="D28" s="50"/>
    </row>
    <row r="29" spans="1:4">
      <c r="A29" s="41" t="s">
        <v>276</v>
      </c>
      <c r="B29" s="247">
        <f>B34*'ha_N2O bodem landbouw'!B4</f>
        <v>18.429487418888826</v>
      </c>
      <c r="C29" s="247">
        <f>B29*'GWP N2O_CH4'!B4</f>
        <v>5713.1410998555357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4.1334093500570122E-3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3.9074298382826245E-5</v>
      </c>
      <c r="C5" s="438" t="s">
        <v>210</v>
      </c>
      <c r="D5" s="423">
        <f>SUM(D6:D11)</f>
        <v>8.1100922402996668E-5</v>
      </c>
      <c r="E5" s="423">
        <f>SUM(E6:E11)</f>
        <v>7.9832631858741396E-4</v>
      </c>
      <c r="F5" s="436" t="s">
        <v>210</v>
      </c>
      <c r="G5" s="423">
        <f>SUM(G6:G11)</f>
        <v>0.29438207680794148</v>
      </c>
      <c r="H5" s="423">
        <f>SUM(H6:H11)</f>
        <v>4.9359240728682183E-2</v>
      </c>
      <c r="I5" s="438" t="s">
        <v>210</v>
      </c>
      <c r="J5" s="438" t="s">
        <v>210</v>
      </c>
      <c r="K5" s="438" t="s">
        <v>210</v>
      </c>
      <c r="L5" s="438" t="s">
        <v>210</v>
      </c>
      <c r="M5" s="423">
        <f>SUM(M6:M11)</f>
        <v>1.8573032409222399E-2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2.1997069480891448E-5</v>
      </c>
      <c r="C6" s="424"/>
      <c r="D6" s="866">
        <f>vkm_GW_PW*SUMIFS(TableVerdeelsleutelVkm[CNG],TableVerdeelsleutelVkm[Voertuigtype],"Lichte voertuigen")*SUMIFS(TableECFTransport[EnergieConsumptieFactor (PJ per km)],TableECFTransport[Index],CONCATENATE($A6,"_CNG_CNG"))</f>
        <v>3.8384545011183642E-5</v>
      </c>
      <c r="E6" s="866">
        <f>vkm_GW_PW*SUMIFS(TableVerdeelsleutelVkm[LPG],TableVerdeelsleutelVkm[Voertuigtype],"Lichte voertuigen")*SUMIFS(TableECFTransport[EnergieConsumptieFactor (PJ per km)],TableECFTransport[Index],CONCATENATE($A6,"_LPG_LPG"))</f>
        <v>3.7177318720979898E-4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8.7373096070634579E-2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2.3506474166562093E-2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5.7826581831857569E-3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7.5623030434390101E-2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1.4665709359683791E-6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4.3844523391781878E-3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1.0271223940413749E-5</v>
      </c>
      <c r="C8" s="424"/>
      <c r="D8" s="426">
        <f>vkm_NGW_PW*SUMIFS(TableVerdeelsleutelVkm[CNG],TableVerdeelsleutelVkm[Voertuigtype],"Lichte voertuigen")*SUMIFS(TableECFTransport[EnergieConsumptieFactor (PJ per km)],TableECFTransport[Index],CONCATENATE($A8,"_CNG_CNG"))</f>
        <v>3.0690946931168385E-5</v>
      </c>
      <c r="E8" s="426">
        <f>vkm_NGW_PW*SUMIFS(TableVerdeelsleutelVkm[LPG],TableVerdeelsleutelVkm[Voertuigtype],"Lichte voertuigen")*SUMIFS(TableECFTransport[EnergieConsumptieFactor (PJ per km)],TableECFTransport[Index],CONCATENATE($A8,"_LPG_LPG"))</f>
        <v>2.8131033534831959E-4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6.2057567408340994E-2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1.8147332768823087E-2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4.1514667630492231E-3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1.6857250127987229E-2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4.0494125571379464E-7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9.7734763225515854E-4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6.8060049615210492E-6</v>
      </c>
      <c r="C10" s="424"/>
      <c r="D10" s="426">
        <f>vkm_SW_PW*SUMIFS(TableVerdeelsleutelVkm[CNG],TableVerdeelsleutelVkm[Voertuigtype],"Lichte voertuigen")*SUMIFS(TableECFTransport[EnergieConsumptieFactor (PJ per km)],TableECFTransport[Index],CONCATENATE($A10,"_CNG_CNG"))</f>
        <v>1.2025430460644645E-5</v>
      </c>
      <c r="E10" s="426">
        <f>vkm_SW_PW*SUMIFS(TableVerdeelsleutelVkm[LPG],TableVerdeelsleutelVkm[Voertuigtype],"Lichte voertuigen")*SUMIFS(TableECFTransport[EnergieConsumptieFactor (PJ per km)],TableECFTransport[Index],CONCATENATE($A10,"_LPG_LPG"))</f>
        <v>1.4524279602929539E-4</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3.069286498456995E-2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7.7031135222048212E-3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2.0144519554036759E-3</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2.1778267782018645E-2</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4.4875890050434076E-7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1.2626555361503972E-3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10.85397177300729</v>
      </c>
      <c r="C14" s="21"/>
      <c r="D14" s="21">
        <f t="shared" ref="D14:M14" si="0">((D5)*10^9/3600)+D12</f>
        <v>22.52803400083241</v>
      </c>
      <c r="E14" s="21">
        <f t="shared" si="0"/>
        <v>221.7573107187261</v>
      </c>
      <c r="F14" s="21"/>
      <c r="G14" s="21">
        <f t="shared" si="0"/>
        <v>81772.799113317087</v>
      </c>
      <c r="H14" s="21">
        <f t="shared" si="0"/>
        <v>13710.900202411718</v>
      </c>
      <c r="I14" s="21"/>
      <c r="J14" s="21"/>
      <c r="K14" s="21"/>
      <c r="L14" s="21"/>
      <c r="M14" s="21">
        <f t="shared" si="0"/>
        <v>5159.1756692284434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0.20578290272852379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2.2335618175829022</v>
      </c>
      <c r="C18" s="23"/>
      <c r="D18" s="23">
        <f t="shared" ref="D18:M18" si="1">D14*D16</f>
        <v>4.5506628681681471</v>
      </c>
      <c r="E18" s="23">
        <f t="shared" si="1"/>
        <v>50.338909533150826</v>
      </c>
      <c r="F18" s="23"/>
      <c r="G18" s="23">
        <f t="shared" si="1"/>
        <v>21833.337363255665</v>
      </c>
      <c r="H18" s="23">
        <f t="shared" si="1"/>
        <v>3414.0141504005178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3.9909853398091737E-3</v>
      </c>
      <c r="H50" s="319">
        <f t="shared" si="2"/>
        <v>0</v>
      </c>
      <c r="I50" s="319">
        <f t="shared" si="2"/>
        <v>0</v>
      </c>
      <c r="J50" s="319">
        <f t="shared" si="2"/>
        <v>0</v>
      </c>
      <c r="K50" s="319">
        <f t="shared" si="2"/>
        <v>0</v>
      </c>
      <c r="L50" s="319">
        <f t="shared" si="2"/>
        <v>0</v>
      </c>
      <c r="M50" s="319">
        <f t="shared" si="2"/>
        <v>2.281125746299274E-4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3.9909853398091737E-3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2.281125746299274E-4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1108.6070388358817</v>
      </c>
      <c r="H54" s="21">
        <f t="shared" si="3"/>
        <v>0</v>
      </c>
      <c r="I54" s="21">
        <f t="shared" si="3"/>
        <v>0</v>
      </c>
      <c r="J54" s="21">
        <f t="shared" si="3"/>
        <v>0</v>
      </c>
      <c r="K54" s="21">
        <f t="shared" si="3"/>
        <v>0</v>
      </c>
      <c r="L54" s="21">
        <f t="shared" si="3"/>
        <v>0</v>
      </c>
      <c r="M54" s="21">
        <f t="shared" si="3"/>
        <v>63.364604063868725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0.20578290272852379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295.9980793691804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27175.131000000005</v>
      </c>
      <c r="D10" s="991">
        <f ca="1">tertiair!C16</f>
        <v>0</v>
      </c>
      <c r="E10" s="991">
        <f ca="1">tertiair!D16</f>
        <v>44289.7785</v>
      </c>
      <c r="F10" s="991">
        <f>tertiair!E16</f>
        <v>232.37522122790398</v>
      </c>
      <c r="G10" s="991">
        <f ca="1">tertiair!F16</f>
        <v>3790.0216447347025</v>
      </c>
      <c r="H10" s="991">
        <f>tertiair!G16</f>
        <v>0</v>
      </c>
      <c r="I10" s="991">
        <f>tertiair!H16</f>
        <v>0</v>
      </c>
      <c r="J10" s="991">
        <f>tertiair!I16</f>
        <v>0</v>
      </c>
      <c r="K10" s="991">
        <f>tertiair!J16</f>
        <v>0</v>
      </c>
      <c r="L10" s="991">
        <f>tertiair!K16</f>
        <v>0</v>
      </c>
      <c r="M10" s="991">
        <f ca="1">tertiair!L16</f>
        <v>0</v>
      </c>
      <c r="N10" s="991">
        <f>tertiair!M16</f>
        <v>0</v>
      </c>
      <c r="O10" s="991">
        <f ca="1">tertiair!N16</f>
        <v>1366.3189263508298</v>
      </c>
      <c r="P10" s="991">
        <f>tertiair!O16</f>
        <v>7.8166666666666664</v>
      </c>
      <c r="Q10" s="992">
        <f>tertiair!P16</f>
        <v>38.133333333333333</v>
      </c>
      <c r="R10" s="675">
        <f ca="1">SUM(C10:Q10)</f>
        <v>76899.575292313442</v>
      </c>
      <c r="S10" s="67"/>
    </row>
    <row r="11" spans="1:19" s="448" customFormat="1">
      <c r="A11" s="784" t="s">
        <v>224</v>
      </c>
      <c r="B11" s="789"/>
      <c r="C11" s="991">
        <f>huishoudens!B8</f>
        <v>40179.864040507979</v>
      </c>
      <c r="D11" s="991">
        <f>huishoudens!C8</f>
        <v>0</v>
      </c>
      <c r="E11" s="991">
        <f>huishoudens!D8</f>
        <v>75259.336041999995</v>
      </c>
      <c r="F11" s="991">
        <f>huishoudens!E8</f>
        <v>21697.352865567904</v>
      </c>
      <c r="G11" s="991">
        <f>huishoudens!F8</f>
        <v>17093.073956287168</v>
      </c>
      <c r="H11" s="991">
        <f>huishoudens!G8</f>
        <v>0</v>
      </c>
      <c r="I11" s="991">
        <f>huishoudens!H8</f>
        <v>0</v>
      </c>
      <c r="J11" s="991">
        <f>huishoudens!I8</f>
        <v>0</v>
      </c>
      <c r="K11" s="991">
        <f>huishoudens!J8</f>
        <v>422.59439599239488</v>
      </c>
      <c r="L11" s="991">
        <f>huishoudens!K8</f>
        <v>0</v>
      </c>
      <c r="M11" s="991">
        <f>huishoudens!L8</f>
        <v>0</v>
      </c>
      <c r="N11" s="991">
        <f>huishoudens!M8</f>
        <v>0</v>
      </c>
      <c r="O11" s="991">
        <f>huishoudens!N8</f>
        <v>17465.820789634701</v>
      </c>
      <c r="P11" s="991">
        <f>huishoudens!O8</f>
        <v>364.25666666666666</v>
      </c>
      <c r="Q11" s="992">
        <f>huishoudens!P8</f>
        <v>800.8</v>
      </c>
      <c r="R11" s="675">
        <f>SUM(C11:Q11)</f>
        <v>173283.09875665681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15007.71386175115</v>
      </c>
      <c r="D13" s="991">
        <f>industrie!C18</f>
        <v>0</v>
      </c>
      <c r="E13" s="991">
        <f>industrie!D18</f>
        <v>9464.7112559999987</v>
      </c>
      <c r="F13" s="991">
        <f>industrie!E18</f>
        <v>668.62765478789504</v>
      </c>
      <c r="G13" s="991">
        <f>industrie!F18</f>
        <v>23300.898339105872</v>
      </c>
      <c r="H13" s="991">
        <f>industrie!G18</f>
        <v>0</v>
      </c>
      <c r="I13" s="991">
        <f>industrie!H18</f>
        <v>0</v>
      </c>
      <c r="J13" s="991">
        <f>industrie!I18</f>
        <v>0</v>
      </c>
      <c r="K13" s="991">
        <f>industrie!J18</f>
        <v>273.38609003550192</v>
      </c>
      <c r="L13" s="991">
        <f>industrie!K18</f>
        <v>0</v>
      </c>
      <c r="M13" s="991">
        <f>industrie!L18</f>
        <v>0</v>
      </c>
      <c r="N13" s="991">
        <f>industrie!M18</f>
        <v>0</v>
      </c>
      <c r="O13" s="991">
        <f>industrie!N18</f>
        <v>6195.7767141186405</v>
      </c>
      <c r="P13" s="991">
        <f>industrie!O18</f>
        <v>0</v>
      </c>
      <c r="Q13" s="992">
        <f>industrie!P18</f>
        <v>0</v>
      </c>
      <c r="R13" s="675">
        <f>SUM(C13:Q13)</f>
        <v>54911.113915799055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82362.708902259139</v>
      </c>
      <c r="D16" s="707">
        <f t="shared" ref="D16:R16" ca="1" si="0">SUM(D9:D15)</f>
        <v>0</v>
      </c>
      <c r="E16" s="707">
        <f t="shared" ca="1" si="0"/>
        <v>129013.82579799999</v>
      </c>
      <c r="F16" s="707">
        <f t="shared" si="0"/>
        <v>22598.355741583702</v>
      </c>
      <c r="G16" s="707">
        <f t="shared" ca="1" si="0"/>
        <v>44183.993940127737</v>
      </c>
      <c r="H16" s="707">
        <f t="shared" si="0"/>
        <v>0</v>
      </c>
      <c r="I16" s="707">
        <f t="shared" si="0"/>
        <v>0</v>
      </c>
      <c r="J16" s="707">
        <f t="shared" si="0"/>
        <v>0</v>
      </c>
      <c r="K16" s="707">
        <f t="shared" si="0"/>
        <v>695.98048602789686</v>
      </c>
      <c r="L16" s="707">
        <f t="shared" si="0"/>
        <v>0</v>
      </c>
      <c r="M16" s="707">
        <f t="shared" ca="1" si="0"/>
        <v>0</v>
      </c>
      <c r="N16" s="707">
        <f t="shared" si="0"/>
        <v>0</v>
      </c>
      <c r="O16" s="707">
        <f t="shared" ca="1" si="0"/>
        <v>25027.916430104171</v>
      </c>
      <c r="P16" s="707">
        <f t="shared" si="0"/>
        <v>372.07333333333332</v>
      </c>
      <c r="Q16" s="707">
        <f t="shared" si="0"/>
        <v>838.93333333333328</v>
      </c>
      <c r="R16" s="707">
        <f t="shared" ca="1" si="0"/>
        <v>305093.78796476929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1108.6070388358817</v>
      </c>
      <c r="I19" s="991">
        <f>transport!H54</f>
        <v>0</v>
      </c>
      <c r="J19" s="991">
        <f>transport!I54</f>
        <v>0</v>
      </c>
      <c r="K19" s="991">
        <f>transport!J54</f>
        <v>0</v>
      </c>
      <c r="L19" s="991">
        <f>transport!K54</f>
        <v>0</v>
      </c>
      <c r="M19" s="991">
        <f>transport!L54</f>
        <v>0</v>
      </c>
      <c r="N19" s="991">
        <f>transport!M54</f>
        <v>63.364604063868725</v>
      </c>
      <c r="O19" s="991">
        <f>transport!N54</f>
        <v>0</v>
      </c>
      <c r="P19" s="991">
        <f>transport!O54</f>
        <v>0</v>
      </c>
      <c r="Q19" s="992">
        <f>transport!P54</f>
        <v>0</v>
      </c>
      <c r="R19" s="675">
        <f>SUM(C19:Q19)</f>
        <v>1171.9716428997503</v>
      </c>
      <c r="S19" s="67"/>
    </row>
    <row r="20" spans="1:19" s="448" customFormat="1">
      <c r="A20" s="784" t="s">
        <v>306</v>
      </c>
      <c r="B20" s="789"/>
      <c r="C20" s="991">
        <f>transport!B14</f>
        <v>10.85397177300729</v>
      </c>
      <c r="D20" s="991">
        <f>transport!C14</f>
        <v>0</v>
      </c>
      <c r="E20" s="991">
        <f>transport!D14</f>
        <v>22.52803400083241</v>
      </c>
      <c r="F20" s="991">
        <f>transport!E14</f>
        <v>221.7573107187261</v>
      </c>
      <c r="G20" s="991">
        <f>transport!F14</f>
        <v>0</v>
      </c>
      <c r="H20" s="991">
        <f>transport!G14</f>
        <v>81772.799113317087</v>
      </c>
      <c r="I20" s="991">
        <f>transport!H14</f>
        <v>13710.900202411718</v>
      </c>
      <c r="J20" s="991">
        <f>transport!I14</f>
        <v>0</v>
      </c>
      <c r="K20" s="991">
        <f>transport!J14</f>
        <v>0</v>
      </c>
      <c r="L20" s="991">
        <f>transport!K14</f>
        <v>0</v>
      </c>
      <c r="M20" s="991">
        <f>transport!L14</f>
        <v>0</v>
      </c>
      <c r="N20" s="991">
        <f>transport!M14</f>
        <v>5159.1756692284434</v>
      </c>
      <c r="O20" s="991">
        <f>transport!N14</f>
        <v>0</v>
      </c>
      <c r="P20" s="991">
        <f>transport!O14</f>
        <v>0</v>
      </c>
      <c r="Q20" s="992">
        <f>transport!P14</f>
        <v>0</v>
      </c>
      <c r="R20" s="675">
        <f>SUM(C20:Q20)</f>
        <v>100898.01430144982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10.85397177300729</v>
      </c>
      <c r="D22" s="787">
        <f t="shared" ref="D22:R22" si="1">SUM(D18:D21)</f>
        <v>0</v>
      </c>
      <c r="E22" s="787">
        <f t="shared" si="1"/>
        <v>22.52803400083241</v>
      </c>
      <c r="F22" s="787">
        <f t="shared" si="1"/>
        <v>221.7573107187261</v>
      </c>
      <c r="G22" s="787">
        <f t="shared" si="1"/>
        <v>0</v>
      </c>
      <c r="H22" s="787">
        <f t="shared" si="1"/>
        <v>82881.406152152966</v>
      </c>
      <c r="I22" s="787">
        <f t="shared" si="1"/>
        <v>13710.900202411718</v>
      </c>
      <c r="J22" s="787">
        <f t="shared" si="1"/>
        <v>0</v>
      </c>
      <c r="K22" s="787">
        <f t="shared" si="1"/>
        <v>0</v>
      </c>
      <c r="L22" s="787">
        <f t="shared" si="1"/>
        <v>0</v>
      </c>
      <c r="M22" s="787">
        <f t="shared" si="1"/>
        <v>0</v>
      </c>
      <c r="N22" s="787">
        <f t="shared" si="1"/>
        <v>5222.5402732923121</v>
      </c>
      <c r="O22" s="787">
        <f t="shared" si="1"/>
        <v>0</v>
      </c>
      <c r="P22" s="787">
        <f t="shared" si="1"/>
        <v>0</v>
      </c>
      <c r="Q22" s="787">
        <f t="shared" si="1"/>
        <v>0</v>
      </c>
      <c r="R22" s="787">
        <f t="shared" si="1"/>
        <v>102069.98594434957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3262.373</v>
      </c>
      <c r="D24" s="991">
        <f>+landbouw!C8</f>
        <v>0</v>
      </c>
      <c r="E24" s="991">
        <f>+landbouw!D8</f>
        <v>388.75117599999999</v>
      </c>
      <c r="F24" s="991">
        <f>+landbouw!E8</f>
        <v>30.2174651334152</v>
      </c>
      <c r="G24" s="991">
        <f>+landbouw!F8</f>
        <v>8277.2617824187237</v>
      </c>
      <c r="H24" s="991">
        <f>+landbouw!G8</f>
        <v>0</v>
      </c>
      <c r="I24" s="991">
        <f>+landbouw!H8</f>
        <v>0</v>
      </c>
      <c r="J24" s="991">
        <f>+landbouw!I8</f>
        <v>0</v>
      </c>
      <c r="K24" s="991">
        <f>+landbouw!J8</f>
        <v>500.15818908894079</v>
      </c>
      <c r="L24" s="991">
        <f>+landbouw!K8</f>
        <v>0</v>
      </c>
      <c r="M24" s="991">
        <f>+landbouw!L8</f>
        <v>0</v>
      </c>
      <c r="N24" s="991">
        <f>+landbouw!M8</f>
        <v>0</v>
      </c>
      <c r="O24" s="991">
        <f>+landbouw!N8</f>
        <v>0</v>
      </c>
      <c r="P24" s="991">
        <f>+landbouw!O8</f>
        <v>0</v>
      </c>
      <c r="Q24" s="992">
        <f>+landbouw!P8</f>
        <v>0</v>
      </c>
      <c r="R24" s="675">
        <f>SUM(C24:Q24)</f>
        <v>12458.761612641081</v>
      </c>
      <c r="S24" s="67"/>
    </row>
    <row r="25" spans="1:19" s="448" customFormat="1" ht="15" thickBot="1">
      <c r="A25" s="806" t="s">
        <v>849</v>
      </c>
      <c r="B25" s="994"/>
      <c r="C25" s="995">
        <f>IF(Onbekend_ele_kWh="---",0,Onbekend_ele_kWh)/1000+IF(REST_rest_ele_kWh="---",0,REST_rest_ele_kWh)/1000</f>
        <v>811.14099999999996</v>
      </c>
      <c r="D25" s="995"/>
      <c r="E25" s="995">
        <f>IF(onbekend_gas_kWh="---",0,onbekend_gas_kWh)/1000+IF(REST_rest_gas_kWh="---",0,REST_rest_gas_kWh)/1000</f>
        <v>3868.3670000000002</v>
      </c>
      <c r="F25" s="995"/>
      <c r="G25" s="995"/>
      <c r="H25" s="995"/>
      <c r="I25" s="995"/>
      <c r="J25" s="995"/>
      <c r="K25" s="995"/>
      <c r="L25" s="995"/>
      <c r="M25" s="995"/>
      <c r="N25" s="995"/>
      <c r="O25" s="995"/>
      <c r="P25" s="995"/>
      <c r="Q25" s="996"/>
      <c r="R25" s="675">
        <f>SUM(C25:Q25)</f>
        <v>4679.5079999999998</v>
      </c>
      <c r="S25" s="67"/>
    </row>
    <row r="26" spans="1:19" s="448" customFormat="1" ht="15.75" thickBot="1">
      <c r="A26" s="680" t="s">
        <v>850</v>
      </c>
      <c r="B26" s="792"/>
      <c r="C26" s="787">
        <f>SUM(C24:C25)</f>
        <v>4073.5140000000001</v>
      </c>
      <c r="D26" s="787">
        <f t="shared" ref="D26:R26" si="2">SUM(D24:D25)</f>
        <v>0</v>
      </c>
      <c r="E26" s="787">
        <f t="shared" si="2"/>
        <v>4257.1181759999999</v>
      </c>
      <c r="F26" s="787">
        <f t="shared" si="2"/>
        <v>30.2174651334152</v>
      </c>
      <c r="G26" s="787">
        <f t="shared" si="2"/>
        <v>8277.2617824187237</v>
      </c>
      <c r="H26" s="787">
        <f t="shared" si="2"/>
        <v>0</v>
      </c>
      <c r="I26" s="787">
        <f t="shared" si="2"/>
        <v>0</v>
      </c>
      <c r="J26" s="787">
        <f t="shared" si="2"/>
        <v>0</v>
      </c>
      <c r="K26" s="787">
        <f t="shared" si="2"/>
        <v>500.15818908894079</v>
      </c>
      <c r="L26" s="787">
        <f t="shared" si="2"/>
        <v>0</v>
      </c>
      <c r="M26" s="787">
        <f t="shared" si="2"/>
        <v>0</v>
      </c>
      <c r="N26" s="787">
        <f t="shared" si="2"/>
        <v>0</v>
      </c>
      <c r="O26" s="787">
        <f t="shared" si="2"/>
        <v>0</v>
      </c>
      <c r="P26" s="787">
        <f t="shared" si="2"/>
        <v>0</v>
      </c>
      <c r="Q26" s="787">
        <f t="shared" si="2"/>
        <v>0</v>
      </c>
      <c r="R26" s="787">
        <f t="shared" si="2"/>
        <v>17138.269612641081</v>
      </c>
      <c r="S26" s="67"/>
    </row>
    <row r="27" spans="1:19" s="448" customFormat="1" ht="17.25" thickTop="1" thickBot="1">
      <c r="A27" s="681" t="s">
        <v>115</v>
      </c>
      <c r="B27" s="780"/>
      <c r="C27" s="682">
        <f ca="1">C22+C16+C26</f>
        <v>86447.076874032136</v>
      </c>
      <c r="D27" s="682">
        <f t="shared" ref="D27:R27" ca="1" si="3">D22+D16+D26</f>
        <v>0</v>
      </c>
      <c r="E27" s="682">
        <f t="shared" ca="1" si="3"/>
        <v>133293.47200800083</v>
      </c>
      <c r="F27" s="682">
        <f t="shared" si="3"/>
        <v>22850.330517435843</v>
      </c>
      <c r="G27" s="682">
        <f t="shared" ca="1" si="3"/>
        <v>52461.255722546462</v>
      </c>
      <c r="H27" s="682">
        <f t="shared" si="3"/>
        <v>82881.406152152966</v>
      </c>
      <c r="I27" s="682">
        <f t="shared" si="3"/>
        <v>13710.900202411718</v>
      </c>
      <c r="J27" s="682">
        <f t="shared" si="3"/>
        <v>0</v>
      </c>
      <c r="K27" s="682">
        <f t="shared" si="3"/>
        <v>1196.1386751168377</v>
      </c>
      <c r="L27" s="682">
        <f t="shared" si="3"/>
        <v>0</v>
      </c>
      <c r="M27" s="682">
        <f t="shared" ca="1" si="3"/>
        <v>0</v>
      </c>
      <c r="N27" s="682">
        <f t="shared" si="3"/>
        <v>5222.5402732923121</v>
      </c>
      <c r="O27" s="682">
        <f t="shared" ca="1" si="3"/>
        <v>25027.916430104171</v>
      </c>
      <c r="P27" s="682">
        <f t="shared" si="3"/>
        <v>372.07333333333332</v>
      </c>
      <c r="Q27" s="682">
        <f t="shared" si="3"/>
        <v>838.93333333333328</v>
      </c>
      <c r="R27" s="682">
        <f t="shared" ca="1" si="3"/>
        <v>424302.04352175992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5592.1773392078921</v>
      </c>
      <c r="D40" s="991">
        <f ca="1">tertiair!C20</f>
        <v>0</v>
      </c>
      <c r="E40" s="991">
        <f ca="1">tertiair!D20</f>
        <v>8946.5352570000014</v>
      </c>
      <c r="F40" s="991">
        <f>tertiair!E20</f>
        <v>52.749175218734202</v>
      </c>
      <c r="G40" s="991">
        <f ca="1">tertiair!F20</f>
        <v>1011.9357791441656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15603.397550570793</v>
      </c>
    </row>
    <row r="41" spans="1:18">
      <c r="A41" s="797" t="s">
        <v>224</v>
      </c>
      <c r="B41" s="804"/>
      <c r="C41" s="991">
        <f ca="1">huishoudens!B12</f>
        <v>8268.3290534931639</v>
      </c>
      <c r="D41" s="991">
        <f ca="1">huishoudens!C12</f>
        <v>0</v>
      </c>
      <c r="E41" s="991">
        <f>huishoudens!D12</f>
        <v>15202.385880484</v>
      </c>
      <c r="F41" s="991">
        <f>huishoudens!E12</f>
        <v>4925.2991004839141</v>
      </c>
      <c r="G41" s="991">
        <f>huishoudens!F12</f>
        <v>4563.8507463286742</v>
      </c>
      <c r="H41" s="991">
        <f>huishoudens!G12</f>
        <v>0</v>
      </c>
      <c r="I41" s="991">
        <f>huishoudens!H12</f>
        <v>0</v>
      </c>
      <c r="J41" s="991">
        <f>huishoudens!I12</f>
        <v>0</v>
      </c>
      <c r="K41" s="991">
        <f>huishoudens!J12</f>
        <v>149.59841618130778</v>
      </c>
      <c r="L41" s="991">
        <f>huishoudens!K12</f>
        <v>0</v>
      </c>
      <c r="M41" s="991">
        <f>huishoudens!L12</f>
        <v>0</v>
      </c>
      <c r="N41" s="991">
        <f>huishoudens!M12</f>
        <v>0</v>
      </c>
      <c r="O41" s="991">
        <f>huishoudens!N12</f>
        <v>0</v>
      </c>
      <c r="P41" s="991">
        <f>huishoudens!O12</f>
        <v>0</v>
      </c>
      <c r="Q41" s="749">
        <f>huishoudens!P12</f>
        <v>0</v>
      </c>
      <c r="R41" s="825">
        <f t="shared" ca="1" si="4"/>
        <v>33109.463196971061</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3088.3309217902552</v>
      </c>
      <c r="D43" s="991">
        <f ca="1">industrie!C22</f>
        <v>0</v>
      </c>
      <c r="E43" s="991">
        <f>industrie!D22</f>
        <v>1911.8716737119998</v>
      </c>
      <c r="F43" s="991">
        <f>industrie!E22</f>
        <v>151.77847763685219</v>
      </c>
      <c r="G43" s="991">
        <f>industrie!F22</f>
        <v>6221.3398565412681</v>
      </c>
      <c r="H43" s="991">
        <f>industrie!G22</f>
        <v>0</v>
      </c>
      <c r="I43" s="991">
        <f>industrie!H22</f>
        <v>0</v>
      </c>
      <c r="J43" s="991">
        <f>industrie!I22</f>
        <v>0</v>
      </c>
      <c r="K43" s="991">
        <f>industrie!J22</f>
        <v>96.778675872567675</v>
      </c>
      <c r="L43" s="991">
        <f>industrie!K22</f>
        <v>0</v>
      </c>
      <c r="M43" s="991">
        <f>industrie!L22</f>
        <v>0</v>
      </c>
      <c r="N43" s="991">
        <f>industrie!M22</f>
        <v>0</v>
      </c>
      <c r="O43" s="991">
        <f>industrie!N22</f>
        <v>0</v>
      </c>
      <c r="P43" s="991">
        <f>industrie!O22</f>
        <v>0</v>
      </c>
      <c r="Q43" s="749">
        <f>industrie!P22</f>
        <v>0</v>
      </c>
      <c r="R43" s="824">
        <f t="shared" ca="1" si="4"/>
        <v>11470.099605552943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16948.837314491313</v>
      </c>
      <c r="D46" s="707">
        <f t="shared" ref="D46:Q46" ca="1" si="5">SUM(D39:D45)</f>
        <v>0</v>
      </c>
      <c r="E46" s="707">
        <f t="shared" ca="1" si="5"/>
        <v>26060.792811196003</v>
      </c>
      <c r="F46" s="707">
        <f t="shared" si="5"/>
        <v>5129.826753339501</v>
      </c>
      <c r="G46" s="707">
        <f t="shared" ca="1" si="5"/>
        <v>11797.126382014107</v>
      </c>
      <c r="H46" s="707">
        <f t="shared" si="5"/>
        <v>0</v>
      </c>
      <c r="I46" s="707">
        <f t="shared" si="5"/>
        <v>0</v>
      </c>
      <c r="J46" s="707">
        <f t="shared" si="5"/>
        <v>0</v>
      </c>
      <c r="K46" s="707">
        <f t="shared" si="5"/>
        <v>246.37709205387546</v>
      </c>
      <c r="L46" s="707">
        <f t="shared" si="5"/>
        <v>0</v>
      </c>
      <c r="M46" s="707">
        <f t="shared" ca="1" si="5"/>
        <v>0</v>
      </c>
      <c r="N46" s="707">
        <f t="shared" si="5"/>
        <v>0</v>
      </c>
      <c r="O46" s="707">
        <f t="shared" ca="1" si="5"/>
        <v>0</v>
      </c>
      <c r="P46" s="707">
        <f t="shared" si="5"/>
        <v>0</v>
      </c>
      <c r="Q46" s="707">
        <f t="shared" si="5"/>
        <v>0</v>
      </c>
      <c r="R46" s="707">
        <f ca="1">SUM(R39:R45)</f>
        <v>60182.960353094793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295.9980793691804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295.9980793691804</v>
      </c>
    </row>
    <row r="50" spans="1:18">
      <c r="A50" s="800" t="s">
        <v>306</v>
      </c>
      <c r="B50" s="810"/>
      <c r="C50" s="678">
        <f ca="1">transport!B18</f>
        <v>2.2335618175829022</v>
      </c>
      <c r="D50" s="678">
        <f>transport!C18</f>
        <v>0</v>
      </c>
      <c r="E50" s="678">
        <f>transport!D18</f>
        <v>4.5506628681681471</v>
      </c>
      <c r="F50" s="678">
        <f>transport!E18</f>
        <v>50.338909533150826</v>
      </c>
      <c r="G50" s="678">
        <f>transport!F18</f>
        <v>0</v>
      </c>
      <c r="H50" s="678">
        <f>transport!G18</f>
        <v>21833.337363255665</v>
      </c>
      <c r="I50" s="678">
        <f>transport!H18</f>
        <v>3414.0141504005178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25304.474647875086</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2.2335618175829022</v>
      </c>
      <c r="D52" s="707">
        <f t="shared" ref="D52:Q52" ca="1" si="6">SUM(D48:D51)</f>
        <v>0</v>
      </c>
      <c r="E52" s="707">
        <f t="shared" si="6"/>
        <v>4.5506628681681471</v>
      </c>
      <c r="F52" s="707">
        <f t="shared" si="6"/>
        <v>50.338909533150826</v>
      </c>
      <c r="G52" s="707">
        <f t="shared" si="6"/>
        <v>0</v>
      </c>
      <c r="H52" s="707">
        <f t="shared" si="6"/>
        <v>22129.335442624844</v>
      </c>
      <c r="I52" s="707">
        <f t="shared" si="6"/>
        <v>3414.0141504005178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25600.472727244265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671.34058572316235</v>
      </c>
      <c r="D54" s="678">
        <f ca="1">+landbouw!C12</f>
        <v>0</v>
      </c>
      <c r="E54" s="678">
        <f>+landbouw!D12</f>
        <v>78.527737552000005</v>
      </c>
      <c r="F54" s="678">
        <f>+landbouw!E12</f>
        <v>6.8593645852852507</v>
      </c>
      <c r="G54" s="678">
        <f>+landbouw!F12</f>
        <v>2210.0288959057993</v>
      </c>
      <c r="H54" s="678">
        <f>+landbouw!G12</f>
        <v>0</v>
      </c>
      <c r="I54" s="678">
        <f>+landbouw!H12</f>
        <v>0</v>
      </c>
      <c r="J54" s="678">
        <f>+landbouw!I12</f>
        <v>0</v>
      </c>
      <c r="K54" s="678">
        <f>+landbouw!J12</f>
        <v>177.05599893748504</v>
      </c>
      <c r="L54" s="678">
        <f>+landbouw!K12</f>
        <v>0</v>
      </c>
      <c r="M54" s="678">
        <f>+landbouw!L12</f>
        <v>0</v>
      </c>
      <c r="N54" s="678">
        <f>+landbouw!M12</f>
        <v>0</v>
      </c>
      <c r="O54" s="678">
        <f>+landbouw!N12</f>
        <v>0</v>
      </c>
      <c r="P54" s="678">
        <f>+landbouw!O12</f>
        <v>0</v>
      </c>
      <c r="Q54" s="679">
        <f>+landbouw!P12</f>
        <v>0</v>
      </c>
      <c r="R54" s="706">
        <f ca="1">SUM(C54:Q54)</f>
        <v>3143.812582703732</v>
      </c>
    </row>
    <row r="55" spans="1:18" ht="15" thickBot="1">
      <c r="A55" s="800" t="s">
        <v>849</v>
      </c>
      <c r="B55" s="810"/>
      <c r="C55" s="678">
        <f ca="1">C25*'EF ele_warmte'!B12</f>
        <v>166.9189495021175</v>
      </c>
      <c r="D55" s="678"/>
      <c r="E55" s="678">
        <f>E25*EF_CO2_aardgas</f>
        <v>781.41013400000008</v>
      </c>
      <c r="F55" s="678"/>
      <c r="G55" s="678"/>
      <c r="H55" s="678"/>
      <c r="I55" s="678"/>
      <c r="J55" s="678"/>
      <c r="K55" s="678"/>
      <c r="L55" s="678"/>
      <c r="M55" s="678"/>
      <c r="N55" s="678"/>
      <c r="O55" s="678"/>
      <c r="P55" s="678"/>
      <c r="Q55" s="679"/>
      <c r="R55" s="706">
        <f ca="1">SUM(C55:Q55)</f>
        <v>948.32908350211756</v>
      </c>
    </row>
    <row r="56" spans="1:18" ht="15.75" thickBot="1">
      <c r="A56" s="798" t="s">
        <v>850</v>
      </c>
      <c r="B56" s="811"/>
      <c r="C56" s="707">
        <f ca="1">SUM(C54:C55)</f>
        <v>838.25953522527982</v>
      </c>
      <c r="D56" s="707">
        <f t="shared" ref="D56:Q56" ca="1" si="7">SUM(D54:D55)</f>
        <v>0</v>
      </c>
      <c r="E56" s="707">
        <f t="shared" si="7"/>
        <v>859.93787155200005</v>
      </c>
      <c r="F56" s="707">
        <f t="shared" si="7"/>
        <v>6.8593645852852507</v>
      </c>
      <c r="G56" s="707">
        <f t="shared" si="7"/>
        <v>2210.0288959057993</v>
      </c>
      <c r="H56" s="707">
        <f t="shared" si="7"/>
        <v>0</v>
      </c>
      <c r="I56" s="707">
        <f t="shared" si="7"/>
        <v>0</v>
      </c>
      <c r="J56" s="707">
        <f t="shared" si="7"/>
        <v>0</v>
      </c>
      <c r="K56" s="707">
        <f t="shared" si="7"/>
        <v>177.05599893748504</v>
      </c>
      <c r="L56" s="707">
        <f t="shared" si="7"/>
        <v>0</v>
      </c>
      <c r="M56" s="707">
        <f t="shared" si="7"/>
        <v>0</v>
      </c>
      <c r="N56" s="707">
        <f t="shared" si="7"/>
        <v>0</v>
      </c>
      <c r="O56" s="707">
        <f t="shared" si="7"/>
        <v>0</v>
      </c>
      <c r="P56" s="707">
        <f t="shared" si="7"/>
        <v>0</v>
      </c>
      <c r="Q56" s="708">
        <f t="shared" si="7"/>
        <v>0</v>
      </c>
      <c r="R56" s="709">
        <f ca="1">SUM(R54:R55)</f>
        <v>4092.1416662058496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17789.330411534174</v>
      </c>
      <c r="D61" s="715">
        <f t="shared" ref="D61:Q61" ca="1" si="8">D46+D52+D56</f>
        <v>0</v>
      </c>
      <c r="E61" s="715">
        <f t="shared" ca="1" si="8"/>
        <v>26925.281345616171</v>
      </c>
      <c r="F61" s="715">
        <f t="shared" si="8"/>
        <v>5187.0250274579366</v>
      </c>
      <c r="G61" s="715">
        <f t="shared" ca="1" si="8"/>
        <v>14007.155277919906</v>
      </c>
      <c r="H61" s="715">
        <f t="shared" si="8"/>
        <v>22129.335442624844</v>
      </c>
      <c r="I61" s="715">
        <f t="shared" si="8"/>
        <v>3414.0141504005178</v>
      </c>
      <c r="J61" s="715">
        <f t="shared" si="8"/>
        <v>0</v>
      </c>
      <c r="K61" s="715">
        <f t="shared" si="8"/>
        <v>423.43309099136047</v>
      </c>
      <c r="L61" s="715">
        <f t="shared" si="8"/>
        <v>0</v>
      </c>
      <c r="M61" s="715">
        <f t="shared" ca="1" si="8"/>
        <v>0</v>
      </c>
      <c r="N61" s="715">
        <f t="shared" si="8"/>
        <v>0</v>
      </c>
      <c r="O61" s="715">
        <f t="shared" ca="1" si="8"/>
        <v>0</v>
      </c>
      <c r="P61" s="715">
        <f t="shared" si="8"/>
        <v>0</v>
      </c>
      <c r="Q61" s="715">
        <f t="shared" si="8"/>
        <v>0</v>
      </c>
      <c r="R61" s="715">
        <f ca="1">R46+R52+R56</f>
        <v>89875.574746544909</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0.20578290272852379</v>
      </c>
      <c r="D63" s="756">
        <f t="shared" ca="1" si="9"/>
        <v>0</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5952.3691295336093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5952.3691295336093</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5952.3691295336093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5952.3691295336093</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40179.864040507979</v>
      </c>
      <c r="C4" s="452">
        <f>huishoudens!C8</f>
        <v>0</v>
      </c>
      <c r="D4" s="452">
        <f>huishoudens!D8</f>
        <v>75259.336041999995</v>
      </c>
      <c r="E4" s="452">
        <f>huishoudens!E8</f>
        <v>21697.352865567904</v>
      </c>
      <c r="F4" s="452">
        <f>huishoudens!F8</f>
        <v>17093.073956287168</v>
      </c>
      <c r="G4" s="452">
        <f>huishoudens!G8</f>
        <v>0</v>
      </c>
      <c r="H4" s="452">
        <f>huishoudens!H8</f>
        <v>0</v>
      </c>
      <c r="I4" s="452">
        <f>huishoudens!I8</f>
        <v>0</v>
      </c>
      <c r="J4" s="452">
        <f>huishoudens!J8</f>
        <v>422.59439599239488</v>
      </c>
      <c r="K4" s="452">
        <f>huishoudens!K8</f>
        <v>0</v>
      </c>
      <c r="L4" s="452">
        <f>huishoudens!L8</f>
        <v>0</v>
      </c>
      <c r="M4" s="452">
        <f>huishoudens!M8</f>
        <v>0</v>
      </c>
      <c r="N4" s="452">
        <f>huishoudens!N8</f>
        <v>17465.820789634701</v>
      </c>
      <c r="O4" s="452">
        <f>huishoudens!O8</f>
        <v>364.25666666666666</v>
      </c>
      <c r="P4" s="453">
        <f>huishoudens!P8</f>
        <v>800.8</v>
      </c>
      <c r="Q4" s="454">
        <f>SUM(B4:P4)</f>
        <v>173283.09875665681</v>
      </c>
    </row>
    <row r="5" spans="1:17">
      <c r="A5" s="451" t="s">
        <v>155</v>
      </c>
      <c r="B5" s="452">
        <f ca="1">tertiair!B16</f>
        <v>25778.591000000004</v>
      </c>
      <c r="C5" s="452">
        <f ca="1">tertiair!C16</f>
        <v>0</v>
      </c>
      <c r="D5" s="452">
        <f ca="1">tertiair!D16</f>
        <v>44289.7785</v>
      </c>
      <c r="E5" s="452">
        <f>tertiair!E16</f>
        <v>232.37522122790398</v>
      </c>
      <c r="F5" s="452">
        <f ca="1">tertiair!F16</f>
        <v>3790.0216447347025</v>
      </c>
      <c r="G5" s="452">
        <f>tertiair!G16</f>
        <v>0</v>
      </c>
      <c r="H5" s="452">
        <f>tertiair!H16</f>
        <v>0</v>
      </c>
      <c r="I5" s="452">
        <f>tertiair!I16</f>
        <v>0</v>
      </c>
      <c r="J5" s="452">
        <f>tertiair!J16</f>
        <v>0</v>
      </c>
      <c r="K5" s="452">
        <f>tertiair!K16</f>
        <v>0</v>
      </c>
      <c r="L5" s="452">
        <f ca="1">tertiair!L16</f>
        <v>0</v>
      </c>
      <c r="M5" s="452">
        <f>tertiair!M16</f>
        <v>0</v>
      </c>
      <c r="N5" s="452">
        <f ca="1">tertiair!N16</f>
        <v>1366.3189263508298</v>
      </c>
      <c r="O5" s="452">
        <f>tertiair!O16</f>
        <v>7.8166666666666664</v>
      </c>
      <c r="P5" s="453">
        <f>tertiair!P16</f>
        <v>38.133333333333333</v>
      </c>
      <c r="Q5" s="451">
        <f t="shared" ref="Q5:Q14" ca="1" si="0">SUM(B5:P5)</f>
        <v>75503.035292313434</v>
      </c>
    </row>
    <row r="6" spans="1:17">
      <c r="A6" s="451" t="s">
        <v>193</v>
      </c>
      <c r="B6" s="452">
        <f>'openbare verlichting'!B8</f>
        <v>1396.54</v>
      </c>
      <c r="C6" s="452"/>
      <c r="D6" s="452"/>
      <c r="E6" s="452"/>
      <c r="F6" s="452"/>
      <c r="G6" s="452"/>
      <c r="H6" s="452"/>
      <c r="I6" s="452"/>
      <c r="J6" s="452"/>
      <c r="K6" s="452"/>
      <c r="L6" s="452"/>
      <c r="M6" s="452"/>
      <c r="N6" s="452"/>
      <c r="O6" s="452"/>
      <c r="P6" s="453"/>
      <c r="Q6" s="451">
        <f t="shared" si="0"/>
        <v>1396.54</v>
      </c>
    </row>
    <row r="7" spans="1:17">
      <c r="A7" s="451" t="s">
        <v>111</v>
      </c>
      <c r="B7" s="452">
        <f>landbouw!B8</f>
        <v>3262.373</v>
      </c>
      <c r="C7" s="452">
        <f>landbouw!C8</f>
        <v>0</v>
      </c>
      <c r="D7" s="452">
        <f>landbouw!D8</f>
        <v>388.75117599999999</v>
      </c>
      <c r="E7" s="452">
        <f>landbouw!E8</f>
        <v>30.2174651334152</v>
      </c>
      <c r="F7" s="452">
        <f>landbouw!F8</f>
        <v>8277.2617824187237</v>
      </c>
      <c r="G7" s="452">
        <f>landbouw!G8</f>
        <v>0</v>
      </c>
      <c r="H7" s="452">
        <f>landbouw!H8</f>
        <v>0</v>
      </c>
      <c r="I7" s="452">
        <f>landbouw!I8</f>
        <v>0</v>
      </c>
      <c r="J7" s="452">
        <f>landbouw!J8</f>
        <v>500.15818908894079</v>
      </c>
      <c r="K7" s="452">
        <f>landbouw!K8</f>
        <v>0</v>
      </c>
      <c r="L7" s="452">
        <f>landbouw!L8</f>
        <v>0</v>
      </c>
      <c r="M7" s="452">
        <f>landbouw!M8</f>
        <v>0</v>
      </c>
      <c r="N7" s="452">
        <f>landbouw!N8</f>
        <v>0</v>
      </c>
      <c r="O7" s="452">
        <f>landbouw!O8</f>
        <v>0</v>
      </c>
      <c r="P7" s="453">
        <f>landbouw!P8</f>
        <v>0</v>
      </c>
      <c r="Q7" s="451">
        <f t="shared" si="0"/>
        <v>12458.761612641081</v>
      </c>
    </row>
    <row r="8" spans="1:17">
      <c r="A8" s="451" t="s">
        <v>649</v>
      </c>
      <c r="B8" s="452">
        <f>industrie!B18</f>
        <v>15007.71386175115</v>
      </c>
      <c r="C8" s="452">
        <f>industrie!C18</f>
        <v>0</v>
      </c>
      <c r="D8" s="452">
        <f>industrie!D18</f>
        <v>9464.7112559999987</v>
      </c>
      <c r="E8" s="452">
        <f>industrie!E18</f>
        <v>668.62765478789504</v>
      </c>
      <c r="F8" s="452">
        <f>industrie!F18</f>
        <v>23300.898339105872</v>
      </c>
      <c r="G8" s="452">
        <f>industrie!G18</f>
        <v>0</v>
      </c>
      <c r="H8" s="452">
        <f>industrie!H18</f>
        <v>0</v>
      </c>
      <c r="I8" s="452">
        <f>industrie!I18</f>
        <v>0</v>
      </c>
      <c r="J8" s="452">
        <f>industrie!J18</f>
        <v>273.38609003550192</v>
      </c>
      <c r="K8" s="452">
        <f>industrie!K18</f>
        <v>0</v>
      </c>
      <c r="L8" s="452">
        <f>industrie!L18</f>
        <v>0</v>
      </c>
      <c r="M8" s="452">
        <f>industrie!M18</f>
        <v>0</v>
      </c>
      <c r="N8" s="452">
        <f>industrie!N18</f>
        <v>6195.7767141186405</v>
      </c>
      <c r="O8" s="452">
        <f>industrie!O18</f>
        <v>0</v>
      </c>
      <c r="P8" s="453">
        <f>industrie!P18</f>
        <v>0</v>
      </c>
      <c r="Q8" s="451">
        <f t="shared" si="0"/>
        <v>54911.113915799055</v>
      </c>
    </row>
    <row r="9" spans="1:17" s="457" customFormat="1">
      <c r="A9" s="455" t="s">
        <v>570</v>
      </c>
      <c r="B9" s="456">
        <f>transport!B14</f>
        <v>10.85397177300729</v>
      </c>
      <c r="C9" s="456">
        <f>transport!C14</f>
        <v>0</v>
      </c>
      <c r="D9" s="456">
        <f>transport!D14</f>
        <v>22.52803400083241</v>
      </c>
      <c r="E9" s="456">
        <f>transport!E14</f>
        <v>221.7573107187261</v>
      </c>
      <c r="F9" s="456">
        <f>transport!F14</f>
        <v>0</v>
      </c>
      <c r="G9" s="456">
        <f>transport!G14</f>
        <v>81772.799113317087</v>
      </c>
      <c r="H9" s="456">
        <f>transport!H14</f>
        <v>13710.900202411718</v>
      </c>
      <c r="I9" s="456">
        <f>transport!I14</f>
        <v>0</v>
      </c>
      <c r="J9" s="456">
        <f>transport!J14</f>
        <v>0</v>
      </c>
      <c r="K9" s="456">
        <f>transport!K14</f>
        <v>0</v>
      </c>
      <c r="L9" s="456">
        <f>transport!L14</f>
        <v>0</v>
      </c>
      <c r="M9" s="456">
        <f>transport!M14</f>
        <v>5159.1756692284434</v>
      </c>
      <c r="N9" s="456">
        <f>transport!N14</f>
        <v>0</v>
      </c>
      <c r="O9" s="456">
        <f>transport!O14</f>
        <v>0</v>
      </c>
      <c r="P9" s="456">
        <f>transport!P14</f>
        <v>0</v>
      </c>
      <c r="Q9" s="455">
        <f>SUM(B9:P9)</f>
        <v>100898.01430144982</v>
      </c>
    </row>
    <row r="10" spans="1:17">
      <c r="A10" s="451" t="s">
        <v>560</v>
      </c>
      <c r="B10" s="452">
        <f>transport!B54</f>
        <v>0</v>
      </c>
      <c r="C10" s="452">
        <f>transport!C54</f>
        <v>0</v>
      </c>
      <c r="D10" s="452">
        <f>transport!D54</f>
        <v>0</v>
      </c>
      <c r="E10" s="452">
        <f>transport!E54</f>
        <v>0</v>
      </c>
      <c r="F10" s="452">
        <f>transport!F54</f>
        <v>0</v>
      </c>
      <c r="G10" s="452">
        <f>transport!G54</f>
        <v>1108.6070388358817</v>
      </c>
      <c r="H10" s="452">
        <f>transport!H54</f>
        <v>0</v>
      </c>
      <c r="I10" s="452">
        <f>transport!I54</f>
        <v>0</v>
      </c>
      <c r="J10" s="452">
        <f>transport!J54</f>
        <v>0</v>
      </c>
      <c r="K10" s="452">
        <f>transport!K54</f>
        <v>0</v>
      </c>
      <c r="L10" s="452">
        <f>transport!L54</f>
        <v>0</v>
      </c>
      <c r="M10" s="452">
        <f>transport!M54</f>
        <v>63.364604063868725</v>
      </c>
      <c r="N10" s="452">
        <f>transport!N54</f>
        <v>0</v>
      </c>
      <c r="O10" s="452">
        <f>transport!O54</f>
        <v>0</v>
      </c>
      <c r="P10" s="453">
        <f>transport!P54</f>
        <v>0</v>
      </c>
      <c r="Q10" s="451">
        <f t="shared" si="0"/>
        <v>1171.9716428997503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811.14099999999996</v>
      </c>
      <c r="C14" s="459"/>
      <c r="D14" s="459">
        <f>'SEAP template'!E25</f>
        <v>3868.3670000000002</v>
      </c>
      <c r="E14" s="459"/>
      <c r="F14" s="459"/>
      <c r="G14" s="459"/>
      <c r="H14" s="459"/>
      <c r="I14" s="459"/>
      <c r="J14" s="459"/>
      <c r="K14" s="459"/>
      <c r="L14" s="459"/>
      <c r="M14" s="459"/>
      <c r="N14" s="459"/>
      <c r="O14" s="459"/>
      <c r="P14" s="460"/>
      <c r="Q14" s="451">
        <f t="shared" si="0"/>
        <v>4679.5079999999998</v>
      </c>
    </row>
    <row r="15" spans="1:17" s="461" customFormat="1">
      <c r="A15" s="1017" t="s">
        <v>564</v>
      </c>
      <c r="B15" s="957">
        <f ca="1">SUM(B4:B14)</f>
        <v>86447.076874032136</v>
      </c>
      <c r="C15" s="957">
        <f t="shared" ref="C15:Q15" ca="1" si="1">SUM(C4:C14)</f>
        <v>0</v>
      </c>
      <c r="D15" s="957">
        <f t="shared" ca="1" si="1"/>
        <v>133293.47200800083</v>
      </c>
      <c r="E15" s="957">
        <f t="shared" si="1"/>
        <v>22850.330517435843</v>
      </c>
      <c r="F15" s="957">
        <f t="shared" ca="1" si="1"/>
        <v>52461.255722546462</v>
      </c>
      <c r="G15" s="957">
        <f t="shared" si="1"/>
        <v>82881.406152152966</v>
      </c>
      <c r="H15" s="957">
        <f t="shared" si="1"/>
        <v>13710.900202411718</v>
      </c>
      <c r="I15" s="957">
        <f t="shared" si="1"/>
        <v>0</v>
      </c>
      <c r="J15" s="957">
        <f t="shared" si="1"/>
        <v>1196.1386751168375</v>
      </c>
      <c r="K15" s="957">
        <f t="shared" si="1"/>
        <v>0</v>
      </c>
      <c r="L15" s="957">
        <f t="shared" ca="1" si="1"/>
        <v>0</v>
      </c>
      <c r="M15" s="957">
        <f t="shared" si="1"/>
        <v>5222.5402732923121</v>
      </c>
      <c r="N15" s="957">
        <f t="shared" ca="1" si="1"/>
        <v>25027.916430104171</v>
      </c>
      <c r="O15" s="957">
        <f t="shared" si="1"/>
        <v>372.07333333333332</v>
      </c>
      <c r="P15" s="957">
        <f t="shared" si="1"/>
        <v>838.93333333333328</v>
      </c>
      <c r="Q15" s="957">
        <f t="shared" ca="1" si="1"/>
        <v>424302.04352175992</v>
      </c>
    </row>
    <row r="17" spans="1:17">
      <c r="A17" s="462" t="s">
        <v>565</v>
      </c>
      <c r="B17" s="761">
        <f ca="1">huishoudens!B10</f>
        <v>0.20578290272852379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8268.3290534931639</v>
      </c>
      <c r="C22" s="452">
        <f t="shared" ref="C22:C32" ca="1" si="3">C4*$C$17</f>
        <v>0</v>
      </c>
      <c r="D22" s="452">
        <f t="shared" ref="D22:D32" si="4">D4*$D$17</f>
        <v>15202.385880484</v>
      </c>
      <c r="E22" s="452">
        <f t="shared" ref="E22:E32" si="5">E4*$E$17</f>
        <v>4925.2991004839141</v>
      </c>
      <c r="F22" s="452">
        <f t="shared" ref="F22:F32" si="6">F4*$F$17</f>
        <v>4563.8507463286742</v>
      </c>
      <c r="G22" s="452">
        <f t="shared" ref="G22:G32" si="7">G4*$G$17</f>
        <v>0</v>
      </c>
      <c r="H22" s="452">
        <f t="shared" ref="H22:H32" si="8">H4*$H$17</f>
        <v>0</v>
      </c>
      <c r="I22" s="452">
        <f t="shared" ref="I22:I32" si="9">I4*$I$17</f>
        <v>0</v>
      </c>
      <c r="J22" s="452">
        <f t="shared" ref="J22:J32" si="10">J4*$J$17</f>
        <v>149.59841618130778</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33109.463196971061</v>
      </c>
    </row>
    <row r="23" spans="1:17">
      <c r="A23" s="451" t="s">
        <v>155</v>
      </c>
      <c r="B23" s="452">
        <f t="shared" ca="1" si="2"/>
        <v>5304.7932842313994</v>
      </c>
      <c r="C23" s="452">
        <f t="shared" ca="1" si="3"/>
        <v>0</v>
      </c>
      <c r="D23" s="452">
        <f t="shared" ca="1" si="4"/>
        <v>8946.5352570000014</v>
      </c>
      <c r="E23" s="452">
        <f t="shared" si="5"/>
        <v>52.749175218734202</v>
      </c>
      <c r="F23" s="452">
        <f t="shared" ca="1" si="6"/>
        <v>1011.9357791441656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15316.013495594299</v>
      </c>
    </row>
    <row r="24" spans="1:17">
      <c r="A24" s="451" t="s">
        <v>193</v>
      </c>
      <c r="B24" s="452">
        <f t="shared" ca="1" si="2"/>
        <v>287.38405497649262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287.38405497649262</v>
      </c>
    </row>
    <row r="25" spans="1:17">
      <c r="A25" s="451" t="s">
        <v>111</v>
      </c>
      <c r="B25" s="452">
        <f t="shared" ca="1" si="2"/>
        <v>671.34058572316235</v>
      </c>
      <c r="C25" s="452">
        <f t="shared" ca="1" si="3"/>
        <v>0</v>
      </c>
      <c r="D25" s="452">
        <f t="shared" si="4"/>
        <v>78.527737552000005</v>
      </c>
      <c r="E25" s="452">
        <f t="shared" si="5"/>
        <v>6.8593645852852507</v>
      </c>
      <c r="F25" s="452">
        <f t="shared" si="6"/>
        <v>2210.0288959057993</v>
      </c>
      <c r="G25" s="452">
        <f t="shared" si="7"/>
        <v>0</v>
      </c>
      <c r="H25" s="452">
        <f t="shared" si="8"/>
        <v>0</v>
      </c>
      <c r="I25" s="452">
        <f t="shared" si="9"/>
        <v>0</v>
      </c>
      <c r="J25" s="452">
        <f t="shared" si="10"/>
        <v>177.05599893748504</v>
      </c>
      <c r="K25" s="452">
        <f t="shared" si="11"/>
        <v>0</v>
      </c>
      <c r="L25" s="452">
        <f t="shared" si="12"/>
        <v>0</v>
      </c>
      <c r="M25" s="452">
        <f t="shared" si="13"/>
        <v>0</v>
      </c>
      <c r="N25" s="452">
        <f t="shared" si="14"/>
        <v>0</v>
      </c>
      <c r="O25" s="452">
        <f t="shared" si="15"/>
        <v>0</v>
      </c>
      <c r="P25" s="453">
        <f t="shared" si="16"/>
        <v>0</v>
      </c>
      <c r="Q25" s="451">
        <f t="shared" ca="1" si="17"/>
        <v>3143.812582703732</v>
      </c>
    </row>
    <row r="26" spans="1:17">
      <c r="A26" s="451" t="s">
        <v>649</v>
      </c>
      <c r="B26" s="452">
        <f t="shared" ca="1" si="2"/>
        <v>3088.3309217902552</v>
      </c>
      <c r="C26" s="452">
        <f t="shared" ca="1" si="3"/>
        <v>0</v>
      </c>
      <c r="D26" s="452">
        <f t="shared" si="4"/>
        <v>1911.8716737119998</v>
      </c>
      <c r="E26" s="452">
        <f t="shared" si="5"/>
        <v>151.77847763685219</v>
      </c>
      <c r="F26" s="452">
        <f t="shared" si="6"/>
        <v>6221.3398565412681</v>
      </c>
      <c r="G26" s="452">
        <f t="shared" si="7"/>
        <v>0</v>
      </c>
      <c r="H26" s="452">
        <f t="shared" si="8"/>
        <v>0</v>
      </c>
      <c r="I26" s="452">
        <f t="shared" si="9"/>
        <v>0</v>
      </c>
      <c r="J26" s="452">
        <f t="shared" si="10"/>
        <v>96.778675872567675</v>
      </c>
      <c r="K26" s="452">
        <f t="shared" si="11"/>
        <v>0</v>
      </c>
      <c r="L26" s="452">
        <f t="shared" si="12"/>
        <v>0</v>
      </c>
      <c r="M26" s="452">
        <f t="shared" si="13"/>
        <v>0</v>
      </c>
      <c r="N26" s="452">
        <f t="shared" si="14"/>
        <v>0</v>
      </c>
      <c r="O26" s="452">
        <f t="shared" si="15"/>
        <v>0</v>
      </c>
      <c r="P26" s="453">
        <f t="shared" si="16"/>
        <v>0</v>
      </c>
      <c r="Q26" s="451">
        <f t="shared" ca="1" si="17"/>
        <v>11470.099605552943</v>
      </c>
    </row>
    <row r="27" spans="1:17" s="457" customFormat="1">
      <c r="A27" s="455" t="s">
        <v>570</v>
      </c>
      <c r="B27" s="755">
        <f t="shared" ca="1" si="2"/>
        <v>2.2335618175829022</v>
      </c>
      <c r="C27" s="456">
        <f t="shared" ca="1" si="3"/>
        <v>0</v>
      </c>
      <c r="D27" s="456">
        <f t="shared" si="4"/>
        <v>4.5506628681681471</v>
      </c>
      <c r="E27" s="456">
        <f t="shared" si="5"/>
        <v>50.338909533150826</v>
      </c>
      <c r="F27" s="456">
        <f t="shared" si="6"/>
        <v>0</v>
      </c>
      <c r="G27" s="456">
        <f t="shared" si="7"/>
        <v>21833.337363255665</v>
      </c>
      <c r="H27" s="456">
        <f t="shared" si="8"/>
        <v>3414.0141504005178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25304.474647875086</v>
      </c>
    </row>
    <row r="28" spans="1:17">
      <c r="A28" s="451" t="s">
        <v>560</v>
      </c>
      <c r="B28" s="452">
        <f t="shared" ca="1" si="2"/>
        <v>0</v>
      </c>
      <c r="C28" s="452">
        <f t="shared" ca="1" si="3"/>
        <v>0</v>
      </c>
      <c r="D28" s="452">
        <f t="shared" si="4"/>
        <v>0</v>
      </c>
      <c r="E28" s="452">
        <f t="shared" si="5"/>
        <v>0</v>
      </c>
      <c r="F28" s="452">
        <f t="shared" si="6"/>
        <v>0</v>
      </c>
      <c r="G28" s="452">
        <f t="shared" si="7"/>
        <v>295.9980793691804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295.9980793691804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166.9189495021175</v>
      </c>
      <c r="C32" s="452">
        <f t="shared" ca="1" si="3"/>
        <v>0</v>
      </c>
      <c r="D32" s="452">
        <f t="shared" si="4"/>
        <v>781.41013400000008</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948.32908350211756</v>
      </c>
    </row>
    <row r="33" spans="1:17" s="461" customFormat="1">
      <c r="A33" s="1017" t="s">
        <v>564</v>
      </c>
      <c r="B33" s="957">
        <f ca="1">SUM(B22:B32)</f>
        <v>17789.330411534171</v>
      </c>
      <c r="C33" s="957">
        <f t="shared" ref="C33:Q33" ca="1" si="18">SUM(C22:C32)</f>
        <v>0</v>
      </c>
      <c r="D33" s="957">
        <f t="shared" ca="1" si="18"/>
        <v>26925.281345616175</v>
      </c>
      <c r="E33" s="957">
        <f t="shared" si="18"/>
        <v>5187.0250274579366</v>
      </c>
      <c r="F33" s="957">
        <f t="shared" ca="1" si="18"/>
        <v>14007.155277919906</v>
      </c>
      <c r="G33" s="957">
        <f t="shared" si="18"/>
        <v>22129.335442624844</v>
      </c>
      <c r="H33" s="957">
        <f t="shared" si="18"/>
        <v>3414.0141504005178</v>
      </c>
      <c r="I33" s="957">
        <f t="shared" si="18"/>
        <v>0</v>
      </c>
      <c r="J33" s="957">
        <f t="shared" si="18"/>
        <v>423.43309099136047</v>
      </c>
      <c r="K33" s="957">
        <f t="shared" si="18"/>
        <v>0</v>
      </c>
      <c r="L33" s="957">
        <f t="shared" ca="1" si="18"/>
        <v>0</v>
      </c>
      <c r="M33" s="957">
        <f t="shared" si="18"/>
        <v>0</v>
      </c>
      <c r="N33" s="957">
        <f t="shared" ca="1" si="18"/>
        <v>0</v>
      </c>
      <c r="O33" s="957">
        <f t="shared" si="18"/>
        <v>0</v>
      </c>
      <c r="P33" s="957">
        <f t="shared" si="18"/>
        <v>0</v>
      </c>
      <c r="Q33" s="957">
        <f t="shared" ca="1" si="18"/>
        <v>89875.574746544909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5952.3691295336093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5952.3691295336093</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0.20578290272852379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0.20578290272852379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2020-06-20T16:06:42Z</dcterms:modified>
</cp:coreProperties>
</file>