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F20" i="18"/>
  <c r="D13" i="15"/>
  <c r="I9"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32"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B4" i="48"/>
  <c r="C11" i="14"/>
  <c r="D4" i="48"/>
  <c r="D22" i="48" s="1"/>
  <c r="E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P33" i="48" l="1"/>
  <c r="O22" i="16"/>
  <c r="P43" i="14" s="1"/>
  <c r="O8" i="48"/>
  <c r="O26" i="48" s="1"/>
  <c r="P13" i="14"/>
  <c r="P16" i="14" s="1"/>
  <c r="P27" i="14" s="1"/>
  <c r="F24" i="14"/>
  <c r="F26" i="14" s="1"/>
  <c r="E7" i="48"/>
  <c r="E25" i="48" s="1"/>
  <c r="Q63" i="14"/>
  <c r="P46" i="14"/>
  <c r="P61" i="14" s="1"/>
  <c r="P63"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O15" i="48"/>
  <c r="N22" i="14"/>
  <c r="N27" i="14" s="1"/>
  <c r="F10" i="14"/>
  <c r="E5" i="48"/>
  <c r="E23" i="48" s="1"/>
  <c r="N52" i="14"/>
  <c r="N61" i="14" s="1"/>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63" i="14" s="1"/>
  <c r="K13" i="14"/>
  <c r="K16" i="14" s="1"/>
  <c r="K27" i="14" s="1"/>
  <c r="J8" i="48"/>
  <c r="E33" i="48"/>
  <c r="N63" i="14"/>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<sst xmlns="http://schemas.openxmlformats.org/spreadsheetml/2006/main" count="2434" uniqueCount="913">
  <si>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</si>
  <si>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</si>
  <si>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</si>
  <si>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</si>
  <si>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</si>
  <si>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</si>
  <si>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</si>
  <si>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</si>
  <si>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</si>
  <si>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</si>
  <si>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</si>
  <si>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</si>
  <si>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</si>
  <si>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</si>
  <si>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</si>
  <si>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</si>
  <si>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</si>
  <si>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</si>
  <si>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</si>
  <si>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</si>
  <si>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</si>
  <si>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</si>
  <si>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</si>
  <si>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</si>
  <si>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</si>
  <si>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</si>
  <si>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</si>
  <si>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</si>
  <si>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</si>
  <si>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</si>
  <si>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</si>
  <si>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</si>
  <si>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</si>
  <si>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</si>
  <si>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</si>
  <si>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</si>
  <si>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</si>
  <si>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</si>
  <si>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</si>
  <si>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</si>
  <si>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</si>
  <si>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</si>
  <si>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</si>
  <si>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</si>
  <si>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</si>
  <si>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</si>
  <si>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</si>
  <si>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</si>
  <si>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</si>
  <si>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</si>
  <si>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</si>
  <si>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</si>
  <si>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</si>
  <si>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</si>
  <si>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</si>
  <si>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</si>
  <si>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</si>
  <si>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</si>
  <si>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</si>
  <si>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</si>
  <si>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</si>
  <si>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</si>
  <si>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</si>
  <si>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</si>
  <si>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</si>
  <si>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</si>
  <si>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</si>
  <si>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</si>
  <si>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</si>
  <si>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</si>
  <si>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</si>
  <si>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</si>
  <si>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</si>
  <si>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</si>
  <si>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</si>
  <si>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</si>
  <si>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</si>
  <si>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</si>
  <si>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</si>
  <si>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</si>
  <si>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</si>
  <si>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</si>
  <si>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</si>
  <si>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</si>
  <si>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</si>
  <si>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</si>
  <si>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</si>
  <si>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</si>
  <si>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</si>
  <si>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</si>
  <si>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</si>
  <si>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</si>
  <si>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</si>
  <si>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</si>
  <si>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</si>
  <si>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</si>
  <si>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</si>
  <si>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</si>
  <si>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</si>
  <si>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</si>
  <si>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</si>
  <si>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</si>
  <si>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</si>
  <si>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</si>
  <si>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</si>
  <si>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</si>
  <si>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</si>
  <si>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</si>
  <si>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</si>
  <si>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</si>
  <si>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</si>
  <si>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</si>
  <si>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</si>
  <si>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</si>
  <si>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</si>
  <si>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</si>
  <si>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</si>
  <si>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</si>
  <si>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</si>
  <si>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</si>
  <si>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</si>
  <si>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</si>
  <si>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</si>
  <si>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</si>
  <si>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</si>
  <si>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</si>
  <si>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</si>
  <si>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</si>
  <si>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</si>
  <si>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</si>
  <si>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</si>
  <si>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</si>
  <si>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</si>
  <si>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</si>
  <si>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</si>
  <si>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</si>
  <si>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</si>
  <si>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</si>
  <si>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</si>
  <si>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</si>
  <si>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</si>
  <si>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</si>
  <si>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</si>
  <si>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</si>
  <si>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</si>
  <si>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</si>
  <si>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</si>
  <si>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</si>
  <si>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</si>
  <si>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</si>
  <si>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</si>
  <si>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</si>
  <si>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</si>
  <si>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</si>
  <si>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</si>
  <si>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</si>
  <si>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</si>
  <si>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</si>
  <si>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</si>
  <si>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</si>
  <si>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</si>
  <si>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</si>
  <si>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</si>
  <si>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</si>
  <si>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</si>
  <si>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</si>
  <si>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</si>
  <si>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</si>
  <si>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</si>
  <si>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</si>
  <si>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</si>
  <si>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</si>
  <si>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</si>
  <si>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</si>
  <si>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</si>
  <si>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</si>
  <si>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</si>
  <si>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</si>
  <si>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</si>
  <si>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</si>
  <si>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</si>
  <si>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</si>
  <si>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</si>
  <si>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</si>
  <si>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</si>
  <si>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</si>
  <si>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</si>
  <si>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</si>
  <si>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</si>
  <si>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</si>
  <si>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</si>
  <si>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</si>
  <si>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</si>
  <si>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</si>
  <si>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</si>
  <si>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</si>
  <si>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</si>
  <si>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</si>
  <si>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</si>
  <si>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</si>
  <si>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</si>
  <si>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</si>
  <si>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</si>
  <si>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</si>
  <si>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</si>
  <si>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</si>
  <si>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</si>
  <si>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</si>
  <si>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</si>
  <si>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</si>
  <si>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</si>
  <si>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</si>
  <si>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</si>
  <si>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</si>
  <si>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</si>
  <si>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</si>
  <si>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</si>
  <si>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</si>
  <si>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</si>
  <si>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</si>
  <si>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</si>
  <si>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</si>
  <si>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</si>
  <si>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</si>
  <si>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</si>
  <si>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</si>
  <si>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</si>
  <si>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</si>
  <si>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</si>
  <si>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</si>
  <si>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</si>
  <si>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</si>
  <si>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</si>
  <si>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</si>
  <si>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</si>
  <si>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</si>
  <si>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</si>
  <si>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</si>
  <si>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</si>
  <si>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</si>
  <si>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</si>
  <si>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</si>
  <si>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</si>
  <si>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</si>
  <si>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</si>
  <si>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</si>
  <si>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</si>
  <si>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</si>
  <si>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</si>
  <si>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</si>
  <si>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</si>
  <si>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</si>
  <si>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</si>
  <si>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</si>
  <si>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</si>
  <si>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</si>
  <si>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</si>
  <si>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</si>
  <si>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</si>
  <si>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</si>
  <si>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</si>
  <si>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</si>
  <si>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</si>
  <si>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</si>
  <si>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</si>
  <si>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</si>
  <si>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</si>
  <si>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</si>
  <si>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</si>
  <si>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</si>
  <si>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</si>
  <si>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</si>
  <si>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</si>
  <si>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</si>
  <si>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</si>
  <si>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</si>
  <si>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</si>
  <si>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</si>
  <si>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</si>
  <si>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</si>
  <si>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</si>
  <si>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</si>
  <si>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</si>
  <si>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</si>
  <si>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</si>
  <si>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</si>
  <si>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</si>
  <si>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</si>
  <si>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</si>
  <si>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</si>
  <si>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</si>
  <si>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</si>
  <si>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</si>
  <si>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</si>
  <si>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</si>
  <si>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</si>
  <si>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</si>
  <si>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</si>
  <si>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</si>
  <si>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</si>
  <si>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</si>
  <si>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</si>
  <si>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</si>
  <si>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</si>
  <si>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</si>
  <si>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</si>
  <si>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</si>
  <si>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</si>
  <si>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</si>
  <si>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</si>
  <si>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</si>
  <si>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</si>
  <si>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</si>
  <si>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</si>
  <si>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</si>
  <si>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</si>
  <si>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</si>
  <si>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</si>
  <si>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</si>
  <si>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</si>
  <si>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</si>
  <si>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</si>
  <si>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</si>
  <si>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</si>
  <si>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</si>
  <si>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</si>
  <si>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</si>
  <si>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</si>
  <si>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</si>
  <si>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</si>
  <si>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</si>
  <si>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</si>
  <si>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</si>
  <si>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</si>
  <si>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</si>
  <si>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</si>
  <si>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</si>
  <si>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</si>
  <si>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</si>
  <si>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</si>
  <si>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</si>
  <si>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</si>
  <si>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</si>
  <si>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</si>
  <si>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</si>
  <si>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</si>
  <si>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</si>
  <si>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</si>
  <si>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</si>
  <si>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</si>
  <si>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</si>
  <si>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</si>
  <si>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</si>
  <si>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</si>
  <si>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</si>
  <si>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</si>
  <si>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</si>
  <si>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</si>
  <si>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</si>
  <si>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</si>
  <si>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</si>
  <si>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</si>
  <si>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</si>
  <si>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</si>
  <si>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</si>
  <si>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</si>
  <si>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</si>
  <si>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</si>
  <si>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</si>
  <si>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</si>
  <si>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</si>
  <si>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</si>
  <si>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</si>
  <si>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</si>
  <si>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</si>
  <si>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</si>
  <si>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</si>
  <si>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</si>
  <si>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</si>
  <si>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</si>
  <si>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</si>
  <si>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</si>
  <si>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</si>
  <si>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</si>
  <si>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</si>
  <si>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</si>
  <si>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</si>
  <si>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</si>
  <si>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</si>
  <si>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</si>
  <si>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</si>
  <si>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</si>
  <si>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</si>
  <si>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</si>
  <si>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</si>
  <si>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</si>
  <si>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</si>
  <si>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</si>
  <si>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</si>
  <si>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</si>
  <si>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</si>
  <si>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</si>
  <si>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</si>
  <si>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</si>
  <si>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</si>
  <si>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</si>
  <si>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</si>
  <si>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</si>
  <si>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</si>
  <si>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</si>
  <si>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</si>
  <si>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</si>
  <si>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</si>
  <si>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</si>
  <si>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</si>
  <si>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</si>
  <si>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</si>
  <si>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</si>
  <si>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</si>
  <si>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</si>
  <si>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</si>
  <si>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</si>
  <si>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</si>
  <si>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</si>
  <si>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</si>
  <si>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</si>
  <si>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</si>
  <si>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</si>
  <si>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</si>
  <si>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</si>
  <si>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</si>
  <si>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</si>
  <si>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</si>
  <si>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</si>
  <si>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</si>
  <si>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</si>
  <si>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</si>
  <si>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</si>
  <si>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</si>
  <si>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</si>
  <si>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</si>
  <si>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</si>
  <si>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</si>
  <si>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</si>
  <si>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</si>
  <si>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</si>
  <si>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</si>
  <si>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</si>
  <si>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</si>
  <si>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</si>
  <si>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</si>
  <si>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</si>
  <si>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</si>
  <si>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</si>
  <si>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</si>
  <si>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</si>
  <si>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</si>
  <si>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</si>
  <si>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</si>
  <si>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</si>
  <si>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</si>
  <si>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</si>
  <si>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</si>
  <si>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</si>
  <si>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</si>
  <si>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</si>
  <si>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</si>
  <si>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</si>
  <si>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</si>
  <si>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</si>
  <si>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</si>
  <si>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</si>
  <si>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</si>
  <si>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</si>
  <si>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</si>
  <si>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</si>
  <si>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</si>
  <si>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</si>
  <si>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</si>
  <si>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</si>
  <si>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</si>
  <si>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</si>
  <si>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</si>
  <si>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</si>
  <si>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</si>
  <si>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</si>
  <si>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</si>
  <si>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</si>
  <si>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</si>
  <si>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</si>
  <si>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</si>
  <si>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</si>
  <si>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</si>
  <si>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</si>
  <si>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</si>
  <si>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</si>
  <si>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</si>
  <si>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</si>
  <si>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</si>
  <si>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</si>
  <si>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</si>
  <si>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</si>
  <si>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</si>
  <si>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</si>
  <si>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</si>
  <si>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</si>
  <si>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</si>
  <si>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</si>
  <si>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</si>
  <si>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</si>
  <si>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</si>
  <si>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</si>
  <si>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</si>
  <si>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</si>
  <si>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</si>
  <si>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</si>
  <si>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</si>
  <si>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</si>
  <si>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</si>
  <si>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</si>
  <si>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</si>
  <si>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</si>
  <si>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</si>
  <si>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</si>
  <si>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</si>
  <si>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</si>
  <si>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</si>
  <si>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</si>
  <si>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</si>
  <si>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</si>
  <si>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</si>
  <si>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</si>
  <si>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</si>
  <si>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</si>
  <si>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</si>
  <si>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</si>
  <si>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</si>
  <si>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</si>
  <si>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</si>
  <si>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</si>
  <si>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</si>
  <si>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</si>
  <si>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</si>
  <si>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</si>
  <si>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</si>
  <si>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</si>
  <si>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</si>
  <si>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</si>
  <si>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</si>
  <si>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</si>
  <si>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</si>
  <si>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</si>
  <si>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</si>
  <si>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</si>
  <si>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</si>
  <si>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</si>
  <si>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</si>
  <si>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</si>
  <si>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</si>
  <si>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</si>
  <si>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</si>
  <si>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</si>
  <si>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</si>
  <si>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</si>
  <si>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</si>
  <si>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</si>
  <si>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</si>
  <si>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</si>
  <si>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</si>
  <si>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</si>
  <si>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</si>
  <si>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</si>
  <si>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</si>
  <si>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</si>
  <si>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</si>
  <si>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</si>
  <si>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</si>
  <si>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</si>
  <si>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</si>
  <si>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</si>
  <si>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</si>
  <si>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</si>
  <si>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</si>
  <si>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</si>
  <si>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</si>
  <si>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</si>
  <si>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</si>
  <si>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</si>
  <si>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</si>
  <si>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</si>
  <si>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</si>
  <si>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</si>
  <si>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</si>
  <si>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</si>
  <si>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</si>
  <si>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</si>
  <si>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</si>
  <si>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</si>
  <si>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</si>
  <si>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</si>
  <si>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</si>
  <si>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</si>
  <si>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</si>
  <si>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</si>
  <si>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</si>
  <si>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</si>
  <si>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</si>
  <si>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</si>
  <si>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</si>
  <si>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</si>
  <si>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</si>
  <si>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</si>
  <si>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</si>
  <si>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</si>
  <si>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</si>
  <si>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</si>
  <si>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</si>
  <si>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</si>
  <si>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</si>
  <si>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</si>
  <si>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</si>
  <si>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</si>
  <si>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</si>
  <si>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</si>
  <si>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</si>
  <si>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</si>
  <si>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</si>
  <si>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</si>
  <si>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</si>
  <si>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</si>
  <si>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</si>
  <si>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</si>
  <si>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</si>
  <si>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</si>
  <si>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</si>
  <si>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</si>
  <si>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</si>
  <si>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</si>
  <si>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</si>
  <si>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</si>
  <si>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</si>
  <si>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</si>
  <si>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</si>
  <si>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</si>
  <si>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</si>
  <si>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</si>
  <si>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</si>
  <si>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</si>
  <si>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</si>
  <si>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</si>
  <si>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</si>
  <si>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</si>
  <si>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</si>
  <si>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</si>
  <si>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</si>
  <si>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</si>
  <si>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</si>
  <si>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</si>
  <si>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</si>
  <si>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</si>
  <si>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</si>
  <si>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</si>
  <si>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</si>
  <si>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</si>
  <si>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</si>
  <si>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</si>
  <si>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</si>
  <si>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</si>
  <si>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</si>
  <si>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</si>
  <si>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</si>
  <si>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</si>
  <si>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</si>
  <si>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</si>
  <si>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</si>
  <si>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</si>
  <si>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</si>
  <si>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</si>
  <si>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</si>
  <si>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</si>
  <si>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</si>
  <si>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</si>
  <si>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</si>
  <si>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</si>
  <si>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</si>
  <si>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</si>
  <si>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</si>
  <si>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</si>
  <si>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</si>
  <si>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</si>
  <si>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</si>
  <si>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</si>
  <si>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</si>
  <si>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</si>
  <si>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</si>
  <si>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</si>
  <si>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</si>
  <si>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</si>
  <si>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</si>
  <si>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</si>
  <si>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</si>
  <si>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</si>
  <si>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</si>
  <si>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</si>
  <si>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</si>
  <si>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</si>
  <si>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</si>
  <si>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</si>
  <si>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</si>
  <si>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</si>
  <si>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</si>
  <si>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</si>
  <si>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</si>
  <si>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</si>
  <si>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</si>
  <si>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</si>
  <si>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</si>
  <si>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</si>
  <si>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</si>
  <si>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</si>
  <si>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</si>
  <si>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</si>
  <si>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</si>
  <si>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</si>
  <si>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</si>
  <si>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</si>
  <si>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</si>
  <si>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</si>
  <si>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</si>
  <si>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</si>
  <si>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</si>
  <si>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</si>
  <si>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</si>
  <si>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</si>
  <si>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</si>
  <si>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</si>
  <si>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</si>
  <si>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</si>
  <si>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</si>
  <si>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</si>
  <si>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</si>
  <si>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</si>
  <si>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</si>
  <si>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</si>
  <si>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</si>
  <si>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</si>
  <si>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</si>
  <si>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</si>
  <si>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</si>
  <si>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</si>
  <si>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</si>
  <si>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</si>
  <si>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</si>
  <si>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</si>
  <si>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</si>
  <si>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</si>
  <si>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</si>
  <si>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</si>
  <si>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</si>
  <si>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</si>
  <si>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</si>
  <si>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</si>
  <si>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</si>
  <si>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</si>
  <si>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</si>
  <si>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</si>
  <si>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</si>
  <si>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</si>
  <si>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</si>
  <si>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</si>
  <si>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</si>
  <si>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</si>
  <si>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</si>
  <si>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</si>
  <si>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</si>
  <si>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</si>
  <si>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</si>
  <si>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</si>
  <si>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</si>
  <si>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</si>
  <si>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</si>
  <si>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</si>
  <si>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</si>
  <si>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</si>
  <si>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</si>
  <si>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</si>
  <si>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</si>
  <si>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</si>
  <si>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</si>
  <si>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</si>
  <si>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</si>
  <si>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</si>
  <si>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</si>
  <si>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</si>
  <si>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</si>
  <si>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</si>
  <si>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</si>
  <si>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</si>
  <si>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</si>
  <si>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</si>
  <si>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</si>
  <si>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</si>
  <si>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</si>
  <si>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</si>
  <si>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</si>
  <si>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</si>
  <si>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</si>
  <si>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</si>
  <si>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</si>
  <si>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</si>
  <si>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</si>
  <si>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</si>
  <si>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</si>
  <si>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</si>
  <si>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</si>
  <si>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</si>
  <si>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</si>
  <si>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</si>
  <si>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</si>
  <si>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</si>
  <si>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</si>
  <si>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</si>
  <si>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</si>
  <si>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</si>
  <si>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</si>
  <si>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</si>
  <si>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</si>
  <si>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</si>
  <si>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</si>
  <si>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</si>
  <si>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</si>
  <si>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</si>
  <si>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</si>
  <si>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</si>
  <si>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</si>
  <si>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</si>
  <si>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</si>
  <si>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</si>
  <si>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</si>
  <si>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</si>
  <si>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</si>
  <si>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</si>
  <si>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</si>
  <si>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</si>
  <si>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</si>
  <si>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</si>
  <si>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</si>
  <si>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</si>
  <si>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</si>
  <si>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</si>
  <si>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</si>
  <si>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</si>
  <si>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</si>
  <si>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</si>
  <si>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</si>
  <si>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</si>
  <si>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</si>
  <si>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</si>
  <si>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</si>
  <si>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</si>
  <si>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</si>
  <si>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</si>
  <si>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</si>
  <si>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</si>
  <si>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</si>
  <si>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</si>
  <si>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</si>
  <si>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</si>
  <si>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</si>
  <si>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</si>
  <si>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</si>
  <si>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</si>
  <si>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</si>
  <si>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</si>
  <si>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</si>
  <si>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</si>
  <si>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</si>
  <si>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</si>
  <si>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</si>
  <si>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</si>
  <si>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</si>
  <si>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</si>
  <si>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</si>
  <si>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</si>
  <si>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</si>
  <si>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</si>
  <si>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</si>
  <si>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</si>
  <si>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</si>
  <si>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</si>
  <si>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</si>
  <si>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</si>
  <si>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</si>
  <si>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</si>
  <si>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</si>
  <si>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</si>
  <si>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</si>
  <si>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</si>
  <si>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</si>
  <si>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</si>
  <si>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</si>
  <si>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</si>
  <si>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</si>
  <si>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</si>
  <si>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</si>
  <si>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</si>
  <si>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</si>
  <si>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31022</t>
  </si>
  <si>
    <t>OOSTKAMP</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</si>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</sst>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200308.87696662758</c:v>
                </c:pt>
                <c:pt idx="1">
                  <c:v>57621.759860841506</c:v>
                </c:pt>
                <c:pt idx="2">
                  <c:v>1655.904</c:v>
                </c:pt>
                <c:pt idx="3">
                  <c:v>14615.129808823664</c:v>
                </c:pt>
                <c:pt idx="4">
                  <c:v>71222.78006558484</c:v>
                </c:pt>
                <c:pt idx="5">
                  <c:v>397705.18884632032</c:v>
                </c:pt>
                <c:pt idx="6">
                  <c:v>1668.000632748443</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200308.87696662758</c:v>
                </c:pt>
                <c:pt idx="1">
                  <c:v>57621.759860841506</c:v>
                </c:pt>
                <c:pt idx="2">
                  <c:v>1655.904</c:v>
                </c:pt>
                <c:pt idx="3">
                  <c:v>14615.129808823664</c:v>
                </c:pt>
                <c:pt idx="4">
                  <c:v>71222.78006558484</c:v>
                </c:pt>
                <c:pt idx="5">
                  <c:v>397705.18884632032</c:v>
                </c:pt>
                <c:pt idx="6">
                  <c:v>1668.000632748443</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37820.505941626732</c:v>
                </c:pt>
                <c:pt idx="2">
                  <c:v>11524.299864894003</c:v>
                </c:pt>
                <c:pt idx="3">
                  <c:v>335.6169093944348</c:v>
                </c:pt>
                <c:pt idx="4">
                  <c:v>3683.9983269777422</c:v>
                </c:pt>
                <c:pt idx="5">
                  <c:v>14611.865370685835</c:v>
                </c:pt>
                <c:pt idx="6">
                  <c:v>99777.783161710904</c:v>
                </c:pt>
                <c:pt idx="7">
                  <c:v>421.27724392590073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37820.505941626732</c:v>
                </c:pt>
                <c:pt idx="2">
                  <c:v>11524.299864894003</c:v>
                </c:pt>
                <c:pt idx="3">
                  <c:v>335.6169093944348</c:v>
                </c:pt>
                <c:pt idx="4">
                  <c:v>3683.9983269777422</c:v>
                </c:pt>
                <c:pt idx="5">
                  <c:v>14611.865370685835</c:v>
                </c:pt>
                <c:pt idx="6">
                  <c:v>99777.783161710904</c:v>
                </c:pt>
                <c:pt idx="7">
                  <c:v>421.27724392590073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31022</v>
      </c>
      <c r="B6" s="391"/>
      <c r="C6" s="392"/>
    </row>
    <row r="7" spans="1:7" s="389" customFormat="1" ht="15.75" customHeight="1">
      <c r="A7" s="393" t="str">
        <f>txtMunicipality</f>
        <v>OOSTKAMP</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0.20267896532313154</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0.20267896532313154</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9303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4684</v>
      </c>
      <c r="C14" s="330"/>
      <c r="D14" s="330"/>
      <c r="E14" s="330"/>
      <c r="F14" s="330"/>
    </row>
    <row r="15" spans="1:6">
      <c r="A15" s="1305" t="s">
        <v>183</v>
      </c>
      <c r="B15" s="1306">
        <v>498</v>
      </c>
      <c r="C15" s="330"/>
      <c r="D15" s="330"/>
      <c r="E15" s="330"/>
      <c r="F15" s="330"/>
    </row>
    <row r="16" spans="1:6">
      <c r="A16" s="1305" t="s">
        <v>6</v>
      </c>
      <c r="B16" s="1306">
        <v>2340</v>
      </c>
      <c r="C16" s="330"/>
      <c r="D16" s="330"/>
      <c r="E16" s="330"/>
      <c r="F16" s="330"/>
    </row>
    <row r="17" spans="1:6">
      <c r="A17" s="1305" t="s">
        <v>7</v>
      </c>
      <c r="B17" s="1306">
        <v>1749</v>
      </c>
      <c r="C17" s="330"/>
      <c r="D17" s="330"/>
      <c r="E17" s="330"/>
      <c r="F17" s="330"/>
    </row>
    <row r="18" spans="1:6">
      <c r="A18" s="1305" t="s">
        <v>8</v>
      </c>
      <c r="B18" s="1306">
        <v>2654</v>
      </c>
      <c r="C18" s="330"/>
      <c r="D18" s="330"/>
      <c r="E18" s="330"/>
      <c r="F18" s="330"/>
    </row>
    <row r="19" spans="1:6">
      <c r="A19" s="1305" t="s">
        <v>9</v>
      </c>
      <c r="B19" s="1306">
        <v>2494</v>
      </c>
      <c r="C19" s="330"/>
      <c r="D19" s="330"/>
      <c r="E19" s="330"/>
      <c r="F19" s="330"/>
    </row>
    <row r="20" spans="1:6">
      <c r="A20" s="1305" t="s">
        <v>10</v>
      </c>
      <c r="B20" s="1306">
        <v>1947</v>
      </c>
      <c r="C20" s="330"/>
      <c r="D20" s="330"/>
      <c r="E20" s="330"/>
      <c r="F20" s="330"/>
    </row>
    <row r="21" spans="1:6">
      <c r="A21" s="1305" t="s">
        <v>11</v>
      </c>
      <c r="B21" s="1306">
        <v>6510</v>
      </c>
      <c r="C21" s="330"/>
      <c r="D21" s="330"/>
      <c r="E21" s="330"/>
      <c r="F21" s="330"/>
    </row>
    <row r="22" spans="1:6">
      <c r="A22" s="1305" t="s">
        <v>12</v>
      </c>
      <c r="B22" s="1306">
        <v>55099</v>
      </c>
      <c r="C22" s="330"/>
      <c r="D22" s="330"/>
      <c r="E22" s="330"/>
      <c r="F22" s="330"/>
    </row>
    <row r="23" spans="1:6">
      <c r="A23" s="1305" t="s">
        <v>13</v>
      </c>
      <c r="B23" s="1306">
        <v>159</v>
      </c>
      <c r="C23" s="330"/>
      <c r="D23" s="330"/>
      <c r="E23" s="330"/>
      <c r="F23" s="330"/>
    </row>
    <row r="24" spans="1:6">
      <c r="A24" s="1305" t="s">
        <v>14</v>
      </c>
      <c r="B24" s="1306">
        <v>8</v>
      </c>
      <c r="C24" s="330"/>
      <c r="D24" s="330"/>
      <c r="E24" s="330"/>
      <c r="F24" s="330"/>
    </row>
    <row r="25" spans="1:6">
      <c r="A25" s="1305" t="s">
        <v>15</v>
      </c>
      <c r="B25" s="1306">
        <v>777</v>
      </c>
      <c r="C25" s="330"/>
      <c r="D25" s="330"/>
      <c r="E25" s="330"/>
      <c r="F25" s="330"/>
    </row>
    <row r="26" spans="1:6">
      <c r="A26" s="1305" t="s">
        <v>16</v>
      </c>
      <c r="B26" s="1306">
        <v>701</v>
      </c>
      <c r="C26" s="330"/>
      <c r="D26" s="330"/>
      <c r="E26" s="330"/>
      <c r="F26" s="330"/>
    </row>
    <row r="27" spans="1:6">
      <c r="A27" s="1305" t="s">
        <v>17</v>
      </c>
      <c r="B27" s="1306">
        <v>32</v>
      </c>
      <c r="C27" s="330"/>
      <c r="D27" s="330"/>
      <c r="E27" s="330"/>
      <c r="F27" s="330"/>
    </row>
    <row r="28" spans="1:6" s="43" customFormat="1">
      <c r="A28" s="1307" t="s">
        <v>18</v>
      </c>
      <c r="B28" s="1308">
        <v>290673</v>
      </c>
      <c r="C28" s="336"/>
      <c r="D28" s="336"/>
      <c r="E28" s="336"/>
      <c r="F28" s="336"/>
    </row>
    <row r="29" spans="1:6">
      <c r="A29" s="1307" t="s">
        <v>909</v>
      </c>
      <c r="B29" s="1308">
        <v>146</v>
      </c>
      <c r="C29" s="336"/>
      <c r="D29" s="336"/>
      <c r="E29" s="336"/>
      <c r="F29" s="336"/>
    </row>
    <row r="30" spans="1:6">
      <c r="A30" s="1300" t="s">
        <v>910</v>
      </c>
      <c r="B30" s="1309">
        <v>38</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126270.043254299</v>
      </c>
      <c r="E38" s="1306">
        <v>1</v>
      </c>
      <c r="F38" s="1306">
        <v>757.17089999999996</v>
      </c>
    </row>
    <row r="39" spans="1:6">
      <c r="A39" s="1305" t="s">
        <v>29</v>
      </c>
      <c r="B39" s="1305" t="s">
        <v>30</v>
      </c>
      <c r="C39" s="1306">
        <v>5322</v>
      </c>
      <c r="D39" s="1306">
        <v>74714745.163684398</v>
      </c>
      <c r="E39" s="1306">
        <v>8862</v>
      </c>
      <c r="F39" s="1306">
        <v>40502474</v>
      </c>
    </row>
    <row r="40" spans="1:6">
      <c r="A40" s="1305" t="s">
        <v>29</v>
      </c>
      <c r="B40" s="1305" t="s">
        <v>28</v>
      </c>
      <c r="C40" s="1306">
        <v>0</v>
      </c>
      <c r="D40" s="1306">
        <v>0</v>
      </c>
      <c r="E40" s="1306">
        <v>0</v>
      </c>
      <c r="F40" s="1306">
        <v>0</v>
      </c>
    </row>
    <row r="41" spans="1:6">
      <c r="A41" s="1305" t="s">
        <v>31</v>
      </c>
      <c r="B41" s="1305" t="s">
        <v>32</v>
      </c>
      <c r="C41" s="1306">
        <v>81</v>
      </c>
      <c r="D41" s="1306">
        <v>1679719.3621787101</v>
      </c>
      <c r="E41" s="1306">
        <v>236</v>
      </c>
      <c r="F41" s="1306">
        <v>2531973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3</v>
      </c>
      <c r="D44" s="1306">
        <v>2872490.2230935101</v>
      </c>
      <c r="E44" s="1306">
        <v>30</v>
      </c>
      <c r="F44" s="1306">
        <v>1624454</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7</v>
      </c>
      <c r="D47" s="1306">
        <v>634230.26209956501</v>
      </c>
      <c r="E47" s="1306">
        <v>13</v>
      </c>
      <c r="F47" s="1306">
        <v>4629634</v>
      </c>
    </row>
    <row r="48" spans="1:6">
      <c r="A48" s="1305" t="s">
        <v>31</v>
      </c>
      <c r="B48" s="1305" t="s">
        <v>28</v>
      </c>
      <c r="C48" s="1306">
        <v>55</v>
      </c>
      <c r="D48" s="1306">
        <v>25746694.906372599</v>
      </c>
      <c r="E48" s="1306">
        <v>56</v>
      </c>
      <c r="F48" s="1306">
        <v>15446139</v>
      </c>
    </row>
    <row r="49" spans="1:6">
      <c r="A49" s="1305" t="s">
        <v>31</v>
      </c>
      <c r="B49" s="1305" t="s">
        <v>39</v>
      </c>
      <c r="C49" s="1306">
        <v>0</v>
      </c>
      <c r="D49" s="1306">
        <v>0</v>
      </c>
      <c r="E49" s="1306">
        <v>6</v>
      </c>
      <c r="F49" s="1306">
        <v>195829.6</v>
      </c>
    </row>
    <row r="50" spans="1:6">
      <c r="A50" s="1305" t="s">
        <v>31</v>
      </c>
      <c r="B50" s="1305" t="s">
        <v>40</v>
      </c>
      <c r="C50" s="1306">
        <v>12</v>
      </c>
      <c r="D50" s="1306">
        <v>2288949.5240944098</v>
      </c>
      <c r="E50" s="1306">
        <v>33</v>
      </c>
      <c r="F50" s="1306">
        <v>2230467</v>
      </c>
    </row>
    <row r="51" spans="1:6">
      <c r="A51" s="1305" t="s">
        <v>41</v>
      </c>
      <c r="B51" s="1305" t="s">
        <v>42</v>
      </c>
      <c r="C51" s="1306">
        <v>10</v>
      </c>
      <c r="D51" s="1306">
        <v>188825.86407105101</v>
      </c>
      <c r="E51" s="1306">
        <v>189</v>
      </c>
      <c r="F51" s="1306">
        <v>3753855</v>
      </c>
    </row>
    <row r="52" spans="1:6">
      <c r="A52" s="1305" t="s">
        <v>41</v>
      </c>
      <c r="B52" s="1305" t="s">
        <v>28</v>
      </c>
      <c r="C52" s="1306">
        <v>6</v>
      </c>
      <c r="D52" s="1306">
        <v>144733.149552641</v>
      </c>
      <c r="E52" s="1306">
        <v>2</v>
      </c>
      <c r="F52" s="1306">
        <v>115110.5</v>
      </c>
    </row>
    <row r="53" spans="1:6">
      <c r="A53" s="1305" t="s">
        <v>43</v>
      </c>
      <c r="B53" s="1305" t="s">
        <v>44</v>
      </c>
      <c r="C53" s="1306">
        <v>143</v>
      </c>
      <c r="D53" s="1306">
        <v>3015084.5770154102</v>
      </c>
      <c r="E53" s="1306">
        <v>417</v>
      </c>
      <c r="F53" s="1306">
        <v>2179481</v>
      </c>
    </row>
    <row r="54" spans="1:6">
      <c r="A54" s="1305" t="s">
        <v>45</v>
      </c>
      <c r="B54" s="1305" t="s">
        <v>46</v>
      </c>
      <c r="C54" s="1306">
        <v>0</v>
      </c>
      <c r="D54" s="1306">
        <v>0</v>
      </c>
      <c r="E54" s="1306">
        <v>1</v>
      </c>
      <c r="F54" s="1306">
        <v>1655904</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35</v>
      </c>
      <c r="D57" s="1306">
        <v>2553602.3836253802</v>
      </c>
      <c r="E57" s="1306">
        <v>104</v>
      </c>
      <c r="F57" s="1306">
        <v>2078344</v>
      </c>
    </row>
    <row r="58" spans="1:6">
      <c r="A58" s="1305" t="s">
        <v>48</v>
      </c>
      <c r="B58" s="1305" t="s">
        <v>50</v>
      </c>
      <c r="C58" s="1306">
        <v>23</v>
      </c>
      <c r="D58" s="1306">
        <v>548933.64909524599</v>
      </c>
      <c r="E58" s="1306">
        <v>46</v>
      </c>
      <c r="F58" s="1306">
        <v>602076.30000000005</v>
      </c>
    </row>
    <row r="59" spans="1:6">
      <c r="A59" s="1305" t="s">
        <v>48</v>
      </c>
      <c r="B59" s="1305" t="s">
        <v>51</v>
      </c>
      <c r="C59" s="1306">
        <v>144</v>
      </c>
      <c r="D59" s="1306">
        <v>4893554.7444351204</v>
      </c>
      <c r="E59" s="1306">
        <v>339</v>
      </c>
      <c r="F59" s="1306">
        <v>9768550</v>
      </c>
    </row>
    <row r="60" spans="1:6">
      <c r="A60" s="1305" t="s">
        <v>48</v>
      </c>
      <c r="B60" s="1305" t="s">
        <v>52</v>
      </c>
      <c r="C60" s="1306">
        <v>56</v>
      </c>
      <c r="D60" s="1306">
        <v>3263395.1937192301</v>
      </c>
      <c r="E60" s="1306">
        <v>83</v>
      </c>
      <c r="F60" s="1306">
        <v>2774758</v>
      </c>
    </row>
    <row r="61" spans="1:6">
      <c r="A61" s="1305" t="s">
        <v>48</v>
      </c>
      <c r="B61" s="1305" t="s">
        <v>53</v>
      </c>
      <c r="C61" s="1306">
        <v>201</v>
      </c>
      <c r="D61" s="1306">
        <v>7482980.6925638998</v>
      </c>
      <c r="E61" s="1306">
        <v>380</v>
      </c>
      <c r="F61" s="1306">
        <v>8111731</v>
      </c>
    </row>
    <row r="62" spans="1:6">
      <c r="A62" s="1305" t="s">
        <v>48</v>
      </c>
      <c r="B62" s="1305" t="s">
        <v>54</v>
      </c>
      <c r="C62" s="1306">
        <v>14</v>
      </c>
      <c r="D62" s="1306">
        <v>962946.75403576705</v>
      </c>
      <c r="E62" s="1306">
        <v>22</v>
      </c>
      <c r="F62" s="1306">
        <v>503965.8</v>
      </c>
    </row>
    <row r="63" spans="1:6">
      <c r="A63" s="1305" t="s">
        <v>48</v>
      </c>
      <c r="B63" s="1305" t="s">
        <v>28</v>
      </c>
      <c r="C63" s="1306">
        <v>90</v>
      </c>
      <c r="D63" s="1306">
        <v>5372644.2266795198</v>
      </c>
      <c r="E63" s="1306">
        <v>98</v>
      </c>
      <c r="F63" s="1306">
        <v>4691529</v>
      </c>
    </row>
    <row r="64" spans="1:6">
      <c r="A64" s="1305" t="s">
        <v>55</v>
      </c>
      <c r="B64" s="1305" t="s">
        <v>56</v>
      </c>
      <c r="C64" s="1306">
        <v>0</v>
      </c>
      <c r="D64" s="1306">
        <v>0</v>
      </c>
      <c r="E64" s="1306">
        <v>0</v>
      </c>
      <c r="F64" s="1306">
        <v>0</v>
      </c>
    </row>
    <row r="65" spans="1:6">
      <c r="A65" s="1305" t="s">
        <v>55</v>
      </c>
      <c r="B65" s="1305" t="s">
        <v>28</v>
      </c>
      <c r="C65" s="1306">
        <v>2</v>
      </c>
      <c r="D65" s="1306">
        <v>28084.225626232401</v>
      </c>
      <c r="E65" s="1306">
        <v>3</v>
      </c>
      <c r="F65" s="1306">
        <v>17021.98</v>
      </c>
    </row>
    <row r="66" spans="1:6">
      <c r="A66" s="1305" t="s">
        <v>55</v>
      </c>
      <c r="B66" s="1305" t="s">
        <v>57</v>
      </c>
      <c r="C66" s="1306">
        <v>0</v>
      </c>
      <c r="D66" s="1306">
        <v>0</v>
      </c>
      <c r="E66" s="1306">
        <v>20</v>
      </c>
      <c r="F66" s="1306">
        <v>1030606</v>
      </c>
    </row>
    <row r="67" spans="1:6">
      <c r="A67" s="1307" t="s">
        <v>55</v>
      </c>
      <c r="B67" s="1307" t="s">
        <v>58</v>
      </c>
      <c r="C67" s="1306">
        <v>0</v>
      </c>
      <c r="D67" s="1306">
        <v>0</v>
      </c>
      <c r="E67" s="1306">
        <v>0</v>
      </c>
      <c r="F67" s="1306">
        <v>0</v>
      </c>
    </row>
    <row r="68" spans="1:6">
      <c r="A68" s="1300" t="s">
        <v>55</v>
      </c>
      <c r="B68" s="1300" t="s">
        <v>59</v>
      </c>
      <c r="C68" s="1309">
        <v>8</v>
      </c>
      <c r="D68" s="1309">
        <v>671549.447451215</v>
      </c>
      <c r="E68" s="1309">
        <v>22</v>
      </c>
      <c r="F68" s="1309">
        <v>4880955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76633251</v>
      </c>
      <c r="E73" s="450"/>
      <c r="F73" s="330"/>
    </row>
    <row r="74" spans="1:6">
      <c r="A74" s="1305" t="s">
        <v>63</v>
      </c>
      <c r="B74" s="1305" t="s">
        <v>710</v>
      </c>
      <c r="C74" s="1319" t="s">
        <v>712</v>
      </c>
      <c r="D74" s="1320">
        <v>7222294.6874454087</v>
      </c>
      <c r="E74" s="450"/>
      <c r="F74" s="330"/>
    </row>
    <row r="75" spans="1:6">
      <c r="A75" s="1305" t="s">
        <v>64</v>
      </c>
      <c r="B75" s="1305" t="s">
        <v>709</v>
      </c>
      <c r="C75" s="1319" t="s">
        <v>713</v>
      </c>
      <c r="D75" s="1320">
        <v>39671952</v>
      </c>
      <c r="E75" s="450"/>
      <c r="F75" s="330"/>
    </row>
    <row r="76" spans="1:6">
      <c r="A76" s="1305" t="s">
        <v>64</v>
      </c>
      <c r="B76" s="1305" t="s">
        <v>710</v>
      </c>
      <c r="C76" s="1319" t="s">
        <v>714</v>
      </c>
      <c r="D76" s="1320">
        <v>2376976.6874454087</v>
      </c>
      <c r="E76" s="450"/>
      <c r="F76" s="330"/>
    </row>
    <row r="77" spans="1:6">
      <c r="A77" s="1305" t="s">
        <v>65</v>
      </c>
      <c r="B77" s="1305" t="s">
        <v>709</v>
      </c>
      <c r="C77" s="1319" t="s">
        <v>715</v>
      </c>
      <c r="D77" s="1320">
        <v>261829806</v>
      </c>
      <c r="E77" s="450"/>
      <c r="F77" s="330"/>
    </row>
    <row r="78" spans="1:6">
      <c r="A78" s="1300" t="s">
        <v>65</v>
      </c>
      <c r="B78" s="1300" t="s">
        <v>710</v>
      </c>
      <c r="C78" s="1300" t="s">
        <v>716</v>
      </c>
      <c r="D78" s="1321">
        <v>41737905</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447858.62510918267</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5123.8156189985739</v>
      </c>
      <c r="C91" s="330"/>
      <c r="D91" s="330"/>
      <c r="E91" s="330"/>
      <c r="F91" s="330"/>
    </row>
    <row r="92" spans="1:6">
      <c r="A92" s="1300" t="s">
        <v>68</v>
      </c>
      <c r="B92" s="1301">
        <v>3876.1127697148577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2716</v>
      </c>
      <c r="C97" s="330"/>
      <c r="D97" s="330"/>
      <c r="E97" s="330"/>
      <c r="F97" s="330"/>
    </row>
    <row r="98" spans="1:6">
      <c r="A98" s="1305" t="s">
        <v>71</v>
      </c>
      <c r="B98" s="1306">
        <v>1</v>
      </c>
      <c r="C98" s="330"/>
      <c r="D98" s="330"/>
      <c r="E98" s="330"/>
      <c r="F98" s="330"/>
    </row>
    <row r="99" spans="1:6">
      <c r="A99" s="1305" t="s">
        <v>72</v>
      </c>
      <c r="B99" s="1306">
        <v>234</v>
      </c>
      <c r="C99" s="330"/>
      <c r="D99" s="330"/>
      <c r="E99" s="330"/>
      <c r="F99" s="330"/>
    </row>
    <row r="100" spans="1:6">
      <c r="A100" s="1305" t="s">
        <v>73</v>
      </c>
      <c r="B100" s="1306">
        <v>1001</v>
      </c>
      <c r="C100" s="330"/>
      <c r="D100" s="330"/>
      <c r="E100" s="330"/>
      <c r="F100" s="330"/>
    </row>
    <row r="101" spans="1:6">
      <c r="A101" s="1305" t="s">
        <v>74</v>
      </c>
      <c r="B101" s="1306">
        <v>222</v>
      </c>
      <c r="C101" s="330"/>
      <c r="D101" s="330"/>
      <c r="E101" s="330"/>
      <c r="F101" s="330"/>
    </row>
    <row r="102" spans="1:6">
      <c r="A102" s="1305" t="s">
        <v>75</v>
      </c>
      <c r="B102" s="1306">
        <v>140</v>
      </c>
      <c r="C102" s="330"/>
      <c r="D102" s="330"/>
      <c r="E102" s="330"/>
      <c r="F102" s="330"/>
    </row>
    <row r="103" spans="1:6">
      <c r="A103" s="1305" t="s">
        <v>76</v>
      </c>
      <c r="B103" s="1306">
        <v>292</v>
      </c>
      <c r="C103" s="330"/>
      <c r="D103" s="330"/>
      <c r="E103" s="330"/>
      <c r="F103" s="330"/>
    </row>
    <row r="104" spans="1:6">
      <c r="A104" s="1305" t="s">
        <v>77</v>
      </c>
      <c r="B104" s="1306">
        <v>3420</v>
      </c>
      <c r="C104" s="330"/>
      <c r="D104" s="330"/>
      <c r="E104" s="330"/>
      <c r="F104" s="330"/>
    </row>
    <row r="105" spans="1:6">
      <c r="A105" s="1300" t="s">
        <v>78</v>
      </c>
      <c r="B105" s="1309">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23</v>
      </c>
      <c r="C123" s="1306">
        <v>28</v>
      </c>
      <c r="D123" s="330"/>
      <c r="E123" s="330"/>
      <c r="F123" s="330"/>
    </row>
    <row r="124" spans="1:6" s="43" customFormat="1">
      <c r="A124" s="1307" t="s">
        <v>88</v>
      </c>
      <c r="B124" s="1328">
        <v>0</v>
      </c>
      <c r="C124" s="1328">
        <v>3</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235</v>
      </c>
      <c r="C129" s="330"/>
      <c r="D129" s="330"/>
      <c r="E129" s="330"/>
      <c r="F129" s="330"/>
    </row>
    <row r="130" spans="1:6">
      <c r="A130" s="1305" t="s">
        <v>294</v>
      </c>
      <c r="B130" s="1306">
        <v>3</v>
      </c>
      <c r="C130" s="330"/>
      <c r="D130" s="330"/>
      <c r="E130" s="330"/>
      <c r="F130" s="330"/>
    </row>
    <row r="131" spans="1:6">
      <c r="A131" s="1305" t="s">
        <v>295</v>
      </c>
      <c r="B131" s="1306">
        <v>0</v>
      </c>
      <c r="C131" s="330"/>
      <c r="D131" s="330"/>
      <c r="E131" s="330"/>
      <c r="F131" s="330"/>
    </row>
    <row r="132" spans="1:6">
      <c r="A132" s="1300" t="s">
        <v>296</v>
      </c>
      <c r="B132" s="1301">
        <v>23</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108562.87371241623</v>
      </c>
      <c r="C3" s="43" t="s">
        <v>169</v>
      </c>
      <c r="D3" s="43"/>
      <c r="E3" s="154"/>
      <c r="F3" s="43"/>
      <c r="G3" s="43"/>
      <c r="H3" s="43"/>
      <c r="I3" s="43"/>
      <c r="J3" s="43"/>
      <c r="K3" s="96"/>
    </row>
    <row r="4" spans="1:11">
      <c r="A4" s="359" t="s">
        <v>170</v>
      </c>
      <c r="B4" s="49">
        <f>IF(ISERROR('SEAP template'!B78+'SEAP template'!C78),0,'SEAP template'!B78+'SEAP template'!C78)</f>
        <v>8999.9283887134316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0.20267896532313154</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1655.904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1655.904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0.20267896532313154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335.6169093944348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40502.474000000002</v>
      </c>
      <c r="C5" s="17">
        <f>IF(ISERROR('Eigen informatie GS &amp; warmtenet'!B57),0,'Eigen informatie GS &amp; warmtenet'!B57)</f>
        <v>0</v>
      </c>
      <c r="D5" s="30">
        <f>(SUM(HH_hh_gas_kWh,HH_rest_gas_kWh)/1000)*0.902</f>
        <v>67392.700137643318</v>
      </c>
      <c r="E5" s="17">
        <f>B46*B57</f>
        <v>36269.47528894696</v>
      </c>
      <c r="F5" s="17">
        <f>B51*B62</f>
        <v>24057.913914114197</v>
      </c>
      <c r="G5" s="18"/>
      <c r="H5" s="17"/>
      <c r="I5" s="17"/>
      <c r="J5" s="17">
        <f>B50*B61+C50*C61</f>
        <v>856.094453816851</v>
      </c>
      <c r="K5" s="17"/>
      <c r="L5" s="17"/>
      <c r="M5" s="17"/>
      <c r="N5" s="17">
        <f>B48*B59+C48*C59</f>
        <v>24813.490219774321</v>
      </c>
      <c r="O5" s="17">
        <f>B69*B70*B71</f>
        <v>415.84666666666669</v>
      </c>
      <c r="P5" s="17">
        <f>B77*B78*B79/1000-B77*B78*B79/1000/B80</f>
        <v>877.06666666666661</v>
      </c>
    </row>
    <row r="6" spans="1:16">
      <c r="A6" s="16" t="s">
        <v>630</v>
      </c>
      <c r="B6" s="763">
        <f>kWh_PV_kleiner_dan_10kW</f>
        <v>5123.8156189985739</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45626.289618998577</v>
      </c>
      <c r="C8" s="21">
        <f>C5</f>
        <v>0</v>
      </c>
      <c r="D8" s="21">
        <f>D5</f>
        <v>67392.700137643318</v>
      </c>
      <c r="E8" s="21">
        <f>E5</f>
        <v>36269.47528894696</v>
      </c>
      <c r="F8" s="21">
        <f>F5</f>
        <v>24057.913914114197</v>
      </c>
      <c r="G8" s="21"/>
      <c r="H8" s="21"/>
      <c r="I8" s="21"/>
      <c r="J8" s="21">
        <f>J5</f>
        <v>856.094453816851</v>
      </c>
      <c r="K8" s="21"/>
      <c r="L8" s="21">
        <f>L5</f>
        <v>0</v>
      </c>
      <c r="M8" s="21">
        <f>M5</f>
        <v>0</v>
      </c>
      <c r="N8" s="21">
        <f>N5</f>
        <v>24813.490219774321</v>
      </c>
      <c r="O8" s="21">
        <f>O5</f>
        <v>415.84666666666669</v>
      </c>
      <c r="P8" s="21">
        <f>P5</f>
        <v>877.06666666666661</v>
      </c>
    </row>
    <row r="9" spans="1:16">
      <c r="B9" s="19"/>
      <c r="C9" s="19"/>
      <c r="D9" s="258"/>
      <c r="E9" s="19"/>
      <c r="F9" s="19"/>
      <c r="G9" s="19"/>
      <c r="H9" s="19"/>
      <c r="I9" s="19"/>
      <c r="J9" s="19"/>
      <c r="K9" s="19"/>
      <c r="L9" s="19"/>
      <c r="M9" s="19"/>
      <c r="N9" s="19"/>
      <c r="O9" s="19"/>
      <c r="P9" s="19"/>
    </row>
    <row r="10" spans="1:16">
      <c r="A10" s="24" t="s">
        <v>213</v>
      </c>
      <c r="B10" s="25">
        <f ca="1">'EF ele_warmte'!B12</f>
        <v>0.20267896532313154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9247.4891715121685</v>
      </c>
      <c r="C12" s="23">
        <f ca="1">C10*C8</f>
        <v>0</v>
      </c>
      <c r="D12" s="23">
        <f>D8*D10</f>
        <v>13613.325427803951</v>
      </c>
      <c r="E12" s="23">
        <f>E10*E8</f>
        <v>8233.17089059096</v>
      </c>
      <c r="F12" s="23">
        <f>F10*F8</f>
        <v>6423.4630150684907</v>
      </c>
      <c r="G12" s="23"/>
      <c r="H12" s="23"/>
      <c r="I12" s="23"/>
      <c r="J12" s="23">
        <f>J10*J8</f>
        <v>303.05743665116523</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2716</v>
      </c>
      <c r="C18" s="166" t="s">
        <v>110</v>
      </c>
      <c r="D18" s="228"/>
      <c r="E18" s="15"/>
    </row>
    <row r="19" spans="1:7">
      <c r="A19" s="171" t="s">
        <v>71</v>
      </c>
      <c r="B19" s="37">
        <f>aantalw2001_ander</f>
        <v>1</v>
      </c>
      <c r="C19" s="166" t="s">
        <v>110</v>
      </c>
      <c r="D19" s="229"/>
      <c r="E19" s="15"/>
    </row>
    <row r="20" spans="1:7">
      <c r="A20" s="171" t="s">
        <v>72</v>
      </c>
      <c r="B20" s="37">
        <f>aantalw2001_propaan</f>
        <v>234</v>
      </c>
      <c r="C20" s="167">
        <f>IF(ISERROR(B20/SUM($B$20,$B$21,$B$22)*100),0,B20/SUM($B$20,$B$21,$B$22)*100)</f>
        <v>16.060398078242965</v>
      </c>
      <c r="D20" s="229"/>
      <c r="E20" s="15"/>
    </row>
    <row r="21" spans="1:7">
      <c r="A21" s="171" t="s">
        <v>73</v>
      </c>
      <c r="B21" s="37">
        <f>aantalw2001_elektriciteit</f>
        <v>1001</v>
      </c>
      <c r="C21" s="167">
        <f>IF(ISERROR(B21/SUM($B$20,$B$21,$B$22)*100),0,B21/SUM($B$20,$B$21,$B$22)*100)</f>
        <v>68.702814001372687</v>
      </c>
      <c r="D21" s="229"/>
      <c r="E21" s="15"/>
    </row>
    <row r="22" spans="1:7">
      <c r="A22" s="171" t="s">
        <v>74</v>
      </c>
      <c r="B22" s="37">
        <f>aantalw2001_hout</f>
        <v>222</v>
      </c>
      <c r="C22" s="167">
        <f>IF(ISERROR(B22/SUM($B$20,$B$21,$B$22)*100),0,B22/SUM($B$20,$B$21,$B$22)*100)</f>
        <v>15.236787920384351</v>
      </c>
      <c r="D22" s="229"/>
      <c r="E22" s="15"/>
    </row>
    <row r="23" spans="1:7">
      <c r="A23" s="171" t="s">
        <v>75</v>
      </c>
      <c r="B23" s="37">
        <f>aantalw2001_niet_gespec</f>
        <v>140</v>
      </c>
      <c r="C23" s="166" t="s">
        <v>110</v>
      </c>
      <c r="D23" s="228"/>
      <c r="E23" s="15"/>
    </row>
    <row r="24" spans="1:7">
      <c r="A24" s="171" t="s">
        <v>76</v>
      </c>
      <c r="B24" s="37">
        <f>aantalw2001_steenkool</f>
        <v>292</v>
      </c>
      <c r="C24" s="166" t="s">
        <v>110</v>
      </c>
      <c r="D24" s="229"/>
      <c r="E24" s="15"/>
    </row>
    <row r="25" spans="1:7">
      <c r="A25" s="171" t="s">
        <v>77</v>
      </c>
      <c r="B25" s="37">
        <f>aantalw2001_stookolie</f>
        <v>3420</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736</v>
      </c>
      <c r="B28" s="37">
        <f>aantalHuishoudens</f>
        <v>9303</v>
      </c>
      <c r="C28" s="36"/>
      <c r="D28" s="228"/>
    </row>
    <row r="29" spans="1:7" s="15" customFormat="1">
      <c r="A29" s="230" t="s">
        <v>737</v>
      </c>
      <c r="B29" s="37">
        <f>SUM(HH_hh_gas_aantal,HH_rest_gas_aantal)</f>
        <v>5322</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5322</v>
      </c>
      <c r="C32" s="167">
        <f>IF(ISERROR(B32/SUM($B$32,$B$34,$B$35,$B$36,$B$38,$B$39)*100),0,B32/SUM($B$32,$B$34,$B$35,$B$36,$B$38,$B$39)*100)</f>
        <v>57.491627957221567</v>
      </c>
      <c r="D32" s="233"/>
      <c r="G32" s="15"/>
    </row>
    <row r="33" spans="1:7">
      <c r="A33" s="171" t="s">
        <v>71</v>
      </c>
      <c r="B33" s="34" t="s">
        <v>110</v>
      </c>
      <c r="C33" s="167"/>
      <c r="D33" s="233"/>
      <c r="G33" s="15"/>
    </row>
    <row r="34" spans="1:7">
      <c r="A34" s="171" t="s">
        <v>72</v>
      </c>
      <c r="B34" s="33">
        <f>IF((($B$28-$B$32-$B$39-$B$77-$B$38)*C20/100)&lt;0,0,($B$28-$B$32-$B$39-$B$77-$B$38)*C20/100)</f>
        <v>454.34866163349346</v>
      </c>
      <c r="C34" s="167">
        <f>IF(ISERROR(B34/SUM($B$32,$B$34,$B$35,$B$36,$B$38,$B$39)*100),0,B34/SUM($B$32,$B$34,$B$35,$B$36,$B$38,$B$39)*100)</f>
        <v>4.9081631374472678</v>
      </c>
      <c r="D34" s="233"/>
      <c r="G34" s="15"/>
    </row>
    <row r="35" spans="1:7">
      <c r="A35" s="171" t="s">
        <v>73</v>
      </c>
      <c r="B35" s="33">
        <f>IF((($B$28-$B$32-$B$39-$B$77-$B$38)*C21/100)&lt;0,0,($B$28-$B$32-$B$39-$B$77-$B$38)*C21/100)</f>
        <v>1943.6026080988333</v>
      </c>
      <c r="C35" s="167">
        <f>IF(ISERROR(B35/SUM($B$32,$B$34,$B$35,$B$36,$B$38,$B$39)*100),0,B35/SUM($B$32,$B$34,$B$35,$B$36,$B$38,$B$39)*100)</f>
        <v>20.99603119907998</v>
      </c>
      <c r="D35" s="233"/>
      <c r="G35" s="15"/>
    </row>
    <row r="36" spans="1:7">
      <c r="A36" s="171" t="s">
        <v>74</v>
      </c>
      <c r="B36" s="33">
        <f>IF((($B$28-$B$32-$B$39-$B$77-$B$38)*C22/100)&lt;0,0,($B$28-$B$32-$B$39-$B$77-$B$38)*C22/100)</f>
        <v>431.04873026767331</v>
      </c>
      <c r="C36" s="167">
        <f>IF(ISERROR(B36/SUM($B$32,$B$34,$B$35,$B$36,$B$38,$B$39)*100),0,B36/SUM($B$32,$B$34,$B$35,$B$36,$B$38,$B$39)*100)</f>
        <v>4.6564624637320229</v>
      </c>
      <c r="D36" s="233"/>
      <c r="G36" s="15"/>
    </row>
    <row r="37" spans="1:7">
      <c r="A37" s="171" t="s">
        <v>75</v>
      </c>
      <c r="B37" s="34" t="s">
        <v>110</v>
      </c>
      <c r="C37" s="167"/>
      <c r="D37" s="173"/>
      <c r="G37" s="15"/>
    </row>
    <row r="38" spans="1:7">
      <c r="A38" s="171" t="s">
        <v>76</v>
      </c>
      <c r="B38" s="33">
        <f>IF((B24-(B29-B18)*0.1)&lt;0,0,B24-(B29-B18)*0.1)</f>
        <v>31.399999999999977</v>
      </c>
      <c r="C38" s="167">
        <f>IF(ISERROR(B38/SUM($B$32,$B$34,$B$35,$B$36,$B$38,$B$39)*100),0,B38/SUM($B$32,$B$34,$B$35,$B$36,$B$38,$B$39)*100)</f>
        <v>0.33920276547477568</v>
      </c>
      <c r="D38" s="234"/>
      <c r="G38" s="15"/>
    </row>
    <row r="39" spans="1:7">
      <c r="A39" s="171" t="s">
        <v>77</v>
      </c>
      <c r="B39" s="33">
        <f>IF((B25-(B29-B18))&lt;0,0,B25-(B29-B18)*0.9)</f>
        <v>1074.5999999999999</v>
      </c>
      <c r="C39" s="167">
        <f>IF(ISERROR(B39/SUM($B$32,$B$34,$B$35,$B$36,$B$38,$B$39)*100),0,B39/SUM($B$32,$B$34,$B$35,$B$36,$B$38,$B$39)*100)</f>
        <v>11.6085124770444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5322</v>
      </c>
      <c r="C44" s="34" t="s">
        <v>110</v>
      </c>
      <c r="D44" s="174"/>
    </row>
    <row r="45" spans="1:7">
      <c r="A45" s="171" t="s">
        <v>71</v>
      </c>
      <c r="B45" s="33" t="str">
        <f t="shared" si="0"/>
        <v>-</v>
      </c>
      <c r="C45" s="34" t="s">
        <v>110</v>
      </c>
      <c r="D45" s="174"/>
    </row>
    <row r="46" spans="1:7">
      <c r="A46" s="171" t="s">
        <v>72</v>
      </c>
      <c r="B46" s="33">
        <f t="shared" si="0"/>
        <v>454.34866163349346</v>
      </c>
      <c r="C46" s="34" t="s">
        <v>110</v>
      </c>
      <c r="D46" s="174"/>
    </row>
    <row r="47" spans="1:7">
      <c r="A47" s="171" t="s">
        <v>73</v>
      </c>
      <c r="B47" s="33">
        <f t="shared" si="0"/>
        <v>1943.6026080988333</v>
      </c>
      <c r="C47" s="34" t="s">
        <v>110</v>
      </c>
      <c r="D47" s="174"/>
    </row>
    <row r="48" spans="1:7">
      <c r="A48" s="171" t="s">
        <v>74</v>
      </c>
      <c r="B48" s="33">
        <f t="shared" si="0"/>
        <v>431.04873026767331</v>
      </c>
      <c r="C48" s="33">
        <f>B48*10</f>
        <v>4310.4873026767327</v>
      </c>
      <c r="D48" s="234"/>
    </row>
    <row r="49" spans="1:6">
      <c r="A49" s="171" t="s">
        <v>75</v>
      </c>
      <c r="B49" s="33" t="str">
        <f t="shared" si="0"/>
        <v>-</v>
      </c>
      <c r="C49" s="34" t="s">
        <v>110</v>
      </c>
      <c r="D49" s="234"/>
    </row>
    <row r="50" spans="1:6">
      <c r="A50" s="171" t="s">
        <v>76</v>
      </c>
      <c r="B50" s="33">
        <f t="shared" si="0"/>
        <v>31.399999999999977</v>
      </c>
      <c r="C50" s="33">
        <f>B50*2</f>
        <v>62.799999999999955</v>
      </c>
      <c r="D50" s="234"/>
    </row>
    <row r="51" spans="1:6">
      <c r="A51" s="171" t="s">
        <v>77</v>
      </c>
      <c r="B51" s="33">
        <f t="shared" si="0"/>
        <v>1074.5999999999999</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266</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46</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28530.954100000003</v>
      </c>
      <c r="C5" s="17">
        <f>IF(ISERROR('Eigen informatie GS &amp; warmtenet'!B58),0,'Eigen informatie GS &amp; warmtenet'!B58)</f>
        <v>0</v>
      </c>
      <c r="D5" s="30">
        <f>SUM(D6:D12)</f>
        <v>22620.407995027053</v>
      </c>
      <c r="E5" s="17">
        <f>SUM(E6:E12)</f>
        <v>295.26690111263514</v>
      </c>
      <c r="F5" s="17">
        <f>SUM(F6:F12)</f>
        <v>4139.8037703228811</v>
      </c>
      <c r="G5" s="18"/>
      <c r="H5" s="17"/>
      <c r="I5" s="17"/>
      <c r="J5" s="17">
        <f>SUM(J6:J12)</f>
        <v>0</v>
      </c>
      <c r="K5" s="17"/>
      <c r="L5" s="17"/>
      <c r="M5" s="17"/>
      <c r="N5" s="17">
        <f>SUM(N6:N12)</f>
        <v>2030.6370943789277</v>
      </c>
      <c r="O5" s="17">
        <f>B38*B39*B40</f>
        <v>4.6900000000000004</v>
      </c>
      <c r="P5" s="17">
        <f>B46*B47*B48/1000-B46*B47*B48/1000/B49</f>
        <v>0</v>
      </c>
      <c r="R5" s="32"/>
    </row>
    <row r="6" spans="1:18">
      <c r="A6" s="32" t="s">
        <v>53</v>
      </c>
      <c r="B6" s="37">
        <f>B26</f>
        <v>8111.7309999999998</v>
      </c>
      <c r="C6" s="33"/>
      <c r="D6" s="37">
        <f>IF(ISERROR(TER_kantoor_gas_kWh/1000),0,TER_kantoor_gas_kWh/1000)*0.902</f>
        <v>6749.648584692638</v>
      </c>
      <c r="E6" s="33">
        <f>$C$26*'E Balans VL '!I12/100/3.6*1000000</f>
        <v>23.500874866693529</v>
      </c>
      <c r="F6" s="33">
        <f>$C$26*('E Balans VL '!L12+'E Balans VL '!N12)/100/3.6*1000000</f>
        <v>918.06923390985423</v>
      </c>
      <c r="G6" s="34"/>
      <c r="H6" s="33"/>
      <c r="I6" s="33"/>
      <c r="J6" s="33">
        <f>$C$26*('E Balans VL '!D12+'E Balans VL '!E12)/100/3.6*1000000</f>
        <v>0</v>
      </c>
      <c r="K6" s="33"/>
      <c r="L6" s="33"/>
      <c r="M6" s="33"/>
      <c r="N6" s="33">
        <f>$C$26*'E Balans VL '!Y12/100/3.6*1000000</f>
        <v>81.192450319733936</v>
      </c>
      <c r="O6" s="33"/>
      <c r="P6" s="33"/>
      <c r="R6" s="32"/>
    </row>
    <row r="7" spans="1:18">
      <c r="A7" s="32" t="s">
        <v>52</v>
      </c>
      <c r="B7" s="37">
        <f t="shared" ref="B7:B12" si="0">B27</f>
        <v>2774.7579999999998</v>
      </c>
      <c r="C7" s="33"/>
      <c r="D7" s="37">
        <f>IF(ISERROR(TER_horeca_gas_kWh/1000),0,TER_horeca_gas_kWh/1000)*0.902</f>
        <v>2943.5824647347454</v>
      </c>
      <c r="E7" s="33">
        <f>$C$27*'E Balans VL '!I9/100/3.6*1000000</f>
        <v>116.47658831936755</v>
      </c>
      <c r="F7" s="33">
        <f>$C$27*('E Balans VL '!L9+'E Balans VL '!N9)/100/3.6*1000000</f>
        <v>596.21365807196662</v>
      </c>
      <c r="G7" s="34"/>
      <c r="H7" s="33"/>
      <c r="I7" s="33"/>
      <c r="J7" s="33">
        <f>$C$27*('E Balans VL '!D9+'E Balans VL '!E9)/100/3.6*1000000</f>
        <v>0</v>
      </c>
      <c r="K7" s="33"/>
      <c r="L7" s="33"/>
      <c r="M7" s="33"/>
      <c r="N7" s="33">
        <f>$C$27*'E Balans VL '!Y9/100/3.6*1000000</f>
        <v>0.71503087046097968</v>
      </c>
      <c r="O7" s="33"/>
      <c r="P7" s="33"/>
      <c r="R7" s="32"/>
    </row>
    <row r="8" spans="1:18">
      <c r="A8" s="6" t="s">
        <v>51</v>
      </c>
      <c r="B8" s="37">
        <f t="shared" si="0"/>
        <v>9768.5499999999993</v>
      </c>
      <c r="C8" s="33"/>
      <c r="D8" s="37">
        <f>IF(ISERROR(TER_handel_gas_kWh/1000),0,TER_handel_gas_kWh/1000)*0.902</f>
        <v>4413.9863794804787</v>
      </c>
      <c r="E8" s="33">
        <f>$C$28*'E Balans VL '!I13/100/3.6*1000000</f>
        <v>104.92235713305304</v>
      </c>
      <c r="F8" s="33">
        <f>$C$28*('E Balans VL '!L13+'E Balans VL '!N13)/100/3.6*1000000</f>
        <v>1264.6194645229662</v>
      </c>
      <c r="G8" s="34"/>
      <c r="H8" s="33"/>
      <c r="I8" s="33"/>
      <c r="J8" s="33">
        <f>$C$28*('E Balans VL '!D13+'E Balans VL '!E13)/100/3.6*1000000</f>
        <v>0</v>
      </c>
      <c r="K8" s="33"/>
      <c r="L8" s="33"/>
      <c r="M8" s="33"/>
      <c r="N8" s="33">
        <f>$C$28*'E Balans VL '!Y13/100/3.6*1000000</f>
        <v>79.243010986021375</v>
      </c>
      <c r="O8" s="33"/>
      <c r="P8" s="33"/>
      <c r="R8" s="32"/>
    </row>
    <row r="9" spans="1:18">
      <c r="A9" s="32" t="s">
        <v>50</v>
      </c>
      <c r="B9" s="37">
        <f t="shared" si="0"/>
        <v>602.07630000000006</v>
      </c>
      <c r="C9" s="33"/>
      <c r="D9" s="37">
        <f>IF(ISERROR(TER_gezond_gas_kWh/1000),0,TER_gezond_gas_kWh/1000)*0.902</f>
        <v>495.13815148391188</v>
      </c>
      <c r="E9" s="33">
        <f>$C$29*'E Balans VL '!I10/100/3.6*1000000</f>
        <v>0.47929167605181699</v>
      </c>
      <c r="F9" s="33">
        <f>$C$29*('E Balans VL '!L10+'E Balans VL '!N10)/100/3.6*1000000</f>
        <v>73.191075051218334</v>
      </c>
      <c r="G9" s="34"/>
      <c r="H9" s="33"/>
      <c r="I9" s="33"/>
      <c r="J9" s="33">
        <f>$C$29*('E Balans VL '!D10+'E Balans VL '!E10)/100/3.6*1000000</f>
        <v>0</v>
      </c>
      <c r="K9" s="33"/>
      <c r="L9" s="33"/>
      <c r="M9" s="33"/>
      <c r="N9" s="33">
        <f>$C$29*'E Balans VL '!Y10/100/3.6*1000000</f>
        <v>4.8634128417646876</v>
      </c>
      <c r="O9" s="33"/>
      <c r="P9" s="33"/>
      <c r="R9" s="32"/>
    </row>
    <row r="10" spans="1:18">
      <c r="A10" s="32" t="s">
        <v>49</v>
      </c>
      <c r="B10" s="37">
        <f t="shared" si="0"/>
        <v>2078.3440000000001</v>
      </c>
      <c r="C10" s="33"/>
      <c r="D10" s="37">
        <f>IF(ISERROR(TER_ander_gas_kWh/1000),0,TER_ander_gas_kWh/1000)*0.902</f>
        <v>2303.3493500300929</v>
      </c>
      <c r="E10" s="33">
        <f>$C$30*'E Balans VL '!I14/100/3.6*1000000</f>
        <v>7.1225940701981365</v>
      </c>
      <c r="F10" s="33">
        <f>$C$30*('E Balans VL '!L14+'E Balans VL '!N14)/100/3.6*1000000</f>
        <v>464.21759564822008</v>
      </c>
      <c r="G10" s="34"/>
      <c r="H10" s="33"/>
      <c r="I10" s="33"/>
      <c r="J10" s="33">
        <f>$C$30*('E Balans VL '!D14+'E Balans VL '!E14)/100/3.6*1000000</f>
        <v>0</v>
      </c>
      <c r="K10" s="33"/>
      <c r="L10" s="33"/>
      <c r="M10" s="33"/>
      <c r="N10" s="33">
        <f>$C$30*'E Balans VL '!Y14/100/3.6*1000000</f>
        <v>1463.9968673713365</v>
      </c>
      <c r="O10" s="33"/>
      <c r="P10" s="33"/>
      <c r="R10" s="32"/>
    </row>
    <row r="11" spans="1:18">
      <c r="A11" s="32" t="s">
        <v>54</v>
      </c>
      <c r="B11" s="37">
        <f t="shared" si="0"/>
        <v>503.9658</v>
      </c>
      <c r="C11" s="33"/>
      <c r="D11" s="37">
        <f>IF(ISERROR(TER_onderwijs_gas_kWh/1000),0,TER_onderwijs_gas_kWh/1000)*0.902</f>
        <v>868.57797214026198</v>
      </c>
      <c r="E11" s="33">
        <f>$C$31*'E Balans VL '!I11/100/3.6*1000000</f>
        <v>0.34837603661487609</v>
      </c>
      <c r="F11" s="33">
        <f>$C$31*('E Balans VL '!L11+'E Balans VL '!N11)/100/3.6*1000000</f>
        <v>131.92360722680448</v>
      </c>
      <c r="G11" s="34"/>
      <c r="H11" s="33"/>
      <c r="I11" s="33"/>
      <c r="J11" s="33">
        <f>$C$31*('E Balans VL '!D11+'E Balans VL '!E11)/100/3.6*1000000</f>
        <v>0</v>
      </c>
      <c r="K11" s="33"/>
      <c r="L11" s="33"/>
      <c r="M11" s="33"/>
      <c r="N11" s="33">
        <f>$C$31*'E Balans VL '!Y11/100/3.6*1000000</f>
        <v>0.50165502944161833</v>
      </c>
      <c r="O11" s="33"/>
      <c r="P11" s="33"/>
      <c r="R11" s="32"/>
    </row>
    <row r="12" spans="1:18">
      <c r="A12" s="32" t="s">
        <v>259</v>
      </c>
      <c r="B12" s="37">
        <f t="shared" si="0"/>
        <v>4691.5290000000005</v>
      </c>
      <c r="C12" s="33"/>
      <c r="D12" s="37">
        <f>IF(ISERROR(TER_rest_gas_kWh/1000),0,TER_rest_gas_kWh/1000)*0.902</f>
        <v>4846.1250924649266</v>
      </c>
      <c r="E12" s="33">
        <f>$C$32*'E Balans VL '!I8/100/3.6*1000000</f>
        <v>42.416819010656212</v>
      </c>
      <c r="F12" s="33">
        <f>$C$32*('E Balans VL '!L8+'E Balans VL '!N8)/100/3.6*1000000</f>
        <v>691.56913589185137</v>
      </c>
      <c r="G12" s="34"/>
      <c r="H12" s="33"/>
      <c r="I12" s="33"/>
      <c r="J12" s="33">
        <f>$C$32*('E Balans VL '!D8+'E Balans VL '!E8)/100/3.6*1000000</f>
        <v>0</v>
      </c>
      <c r="K12" s="33"/>
      <c r="L12" s="33"/>
      <c r="M12" s="33"/>
      <c r="N12" s="33">
        <f>$C$32*'E Balans VL '!Y8/100/3.6*1000000</f>
        <v>400.12466696016867</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28530.954100000003</v>
      </c>
      <c r="C16" s="21">
        <f t="shared" ca="1" si="1"/>
        <v>0</v>
      </c>
      <c r="D16" s="21">
        <f t="shared" ca="1" si="1"/>
        <v>22620.407995027053</v>
      </c>
      <c r="E16" s="21">
        <f t="shared" si="1"/>
        <v>295.26690111263514</v>
      </c>
      <c r="F16" s="21">
        <f t="shared" ca="1" si="1"/>
        <v>4139.8037703228811</v>
      </c>
      <c r="G16" s="21">
        <f t="shared" si="1"/>
        <v>0</v>
      </c>
      <c r="H16" s="21">
        <f t="shared" si="1"/>
        <v>0</v>
      </c>
      <c r="I16" s="21">
        <f t="shared" si="1"/>
        <v>0</v>
      </c>
      <c r="J16" s="21">
        <f t="shared" si="1"/>
        <v>0</v>
      </c>
      <c r="K16" s="21">
        <f t="shared" si="1"/>
        <v>0</v>
      </c>
      <c r="L16" s="21">
        <f t="shared" ca="1" si="1"/>
        <v>0</v>
      </c>
      <c r="M16" s="21">
        <f t="shared" si="1"/>
        <v>0</v>
      </c>
      <c r="N16" s="21">
        <f t="shared" ca="1" si="1"/>
        <v>2030.6370943789277</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0.20267896532313154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5782.6242566697583</v>
      </c>
      <c r="C20" s="23">
        <f t="shared" ref="C20:P20" ca="1" si="2">C16*C18</f>
        <v>0</v>
      </c>
      <c r="D20" s="23">
        <f t="shared" ca="1" si="2"/>
        <v>4569.3224149954649</v>
      </c>
      <c r="E20" s="23">
        <f t="shared" si="2"/>
        <v>67.025586552568186</v>
      </c>
      <c r="F20" s="23">
        <f t="shared" ca="1" si="2"/>
        <v>1105.3276066762094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8111.7309999999998</v>
      </c>
      <c r="C26" s="39">
        <f>IF(ISERROR(B26*3.6/1000000/'E Balans VL '!Z12*100),0,B26*3.6/1000000/'E Balans VL '!Z12*100)</f>
        <v>0.17818354951513307</v>
      </c>
      <c r="D26" s="237" t="s">
        <v>691</v>
      </c>
      <c r="F26" s="6"/>
    </row>
    <row r="27" spans="1:18">
      <c r="A27" s="231" t="s">
        <v>52</v>
      </c>
      <c r="B27" s="33">
        <f>IF(ISERROR(TER_horeca_ele_kWh/1000),0,TER_horeca_ele_kWh/1000)</f>
        <v>2774.7579999999998</v>
      </c>
      <c r="C27" s="39">
        <f>IF(ISERROR(B27*3.6/1000000/'E Balans VL '!Z9*100),0,B27*3.6/1000000/'E Balans VL '!Z9*100)</f>
        <v>0.22297946441442804</v>
      </c>
      <c r="D27" s="237" t="s">
        <v>691</v>
      </c>
      <c r="F27" s="6"/>
    </row>
    <row r="28" spans="1:18">
      <c r="A28" s="171" t="s">
        <v>51</v>
      </c>
      <c r="B28" s="33">
        <f>IF(ISERROR(TER_handel_ele_kWh/1000),0,TER_handel_ele_kWh/1000)</f>
        <v>9768.5499999999993</v>
      </c>
      <c r="C28" s="39">
        <f>IF(ISERROR(B28*3.6/1000000/'E Balans VL '!Z13*100),0,B28*3.6/1000000/'E Balans VL '!Z13*100)</f>
        <v>0.28884919904767992</v>
      </c>
      <c r="D28" s="237" t="s">
        <v>691</v>
      </c>
      <c r="F28" s="6"/>
    </row>
    <row r="29" spans="1:18">
      <c r="A29" s="231" t="s">
        <v>50</v>
      </c>
      <c r="B29" s="33">
        <f>IF(ISERROR(TER_gezond_ele_kWh/1000),0,TER_gezond_ele_kWh/1000)</f>
        <v>602.07630000000006</v>
      </c>
      <c r="C29" s="39">
        <f>IF(ISERROR(B29*3.6/1000000/'E Balans VL '!Z10*100),0,B29*3.6/1000000/'E Balans VL '!Z10*100)</f>
        <v>6.7838454770162204E-2</v>
      </c>
      <c r="D29" s="237" t="s">
        <v>691</v>
      </c>
      <c r="F29" s="6"/>
    </row>
    <row r="30" spans="1:18">
      <c r="A30" s="231" t="s">
        <v>49</v>
      </c>
      <c r="B30" s="33">
        <f>IF(ISERROR(TER_ander_ele_kWh/1000),0,TER_ander_ele_kWh/1000)</f>
        <v>2078.3440000000001</v>
      </c>
      <c r="C30" s="39">
        <f>IF(ISERROR(B30*3.6/1000000/'E Balans VL '!Z14*100),0,B30*3.6/1000000/'E Balans VL '!Z14*100)</f>
        <v>0.15718160395141079</v>
      </c>
      <c r="D30" s="237" t="s">
        <v>691</v>
      </c>
      <c r="F30" s="6"/>
    </row>
    <row r="31" spans="1:18">
      <c r="A31" s="231" t="s">
        <v>54</v>
      </c>
      <c r="B31" s="33">
        <f>IF(ISERROR(TER_onderwijs_ele_kWh/1000),0,TER_onderwijs_ele_kWh/1000)</f>
        <v>503.9658</v>
      </c>
      <c r="C31" s="39">
        <f>IF(ISERROR(B31*3.6/1000000/'E Balans VL '!Z11*100),0,B31*3.6/1000000/'E Balans VL '!Z11*100)</f>
        <v>0.10461160101619878</v>
      </c>
      <c r="D31" s="237" t="s">
        <v>691</v>
      </c>
    </row>
    <row r="32" spans="1:18">
      <c r="A32" s="231" t="s">
        <v>259</v>
      </c>
      <c r="B32" s="33">
        <f>IF(ISERROR(TER_rest_ele_kWh/1000),0,TER_rest_ele_kWh/1000)</f>
        <v>4691.5290000000005</v>
      </c>
      <c r="C32" s="39">
        <f>IF(ISERROR(B32*3.6/1000000/'E Balans VL '!Z8*100),0,B32*3.6/1000000/'E Balans VL '!Z8*100)</f>
        <v>3.952337189195345E-2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26658.496599999999</v>
      </c>
      <c r="C5" s="17">
        <f>IF(ISERROR('Eigen informatie GS &amp; warmtenet'!B59),0,'Eigen informatie GS &amp; warmtenet'!B59)</f>
        <v>0</v>
      </c>
      <c r="D5" s="30">
        <f>SUM(D6:D15)</f>
        <v>29966.32001861059</v>
      </c>
      <c r="E5" s="17">
        <f>SUM(E6:E15)</f>
        <v>1555.4819689896215</v>
      </c>
      <c r="F5" s="17">
        <f>SUM(F6:F15)</f>
        <v>10339.403242032775</v>
      </c>
      <c r="G5" s="18"/>
      <c r="H5" s="17"/>
      <c r="I5" s="17"/>
      <c r="J5" s="17">
        <f>SUM(J6:J15)</f>
        <v>118.18402933582043</v>
      </c>
      <c r="K5" s="17"/>
      <c r="L5" s="17"/>
      <c r="M5" s="17"/>
      <c r="N5" s="17">
        <f>SUM(N6:N15)</f>
        <v>2584.8942066160243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1624.454</v>
      </c>
      <c r="C8" s="33"/>
      <c r="D8" s="37">
        <f>IF( ISERROR(IND_metaal_Gas_kWH/1000),0,IND_metaal_Gas_kWH/1000)*0.902</f>
        <v>2590.9861812303461</v>
      </c>
      <c r="E8" s="33">
        <f>C30*'E Balans VL '!I18/100/3.6*1000000</f>
        <v>40.654398152803196</v>
      </c>
      <c r="F8" s="33">
        <f>C30*'E Balans VL '!L18/100/3.6*1000000+C30*'E Balans VL '!N18/100/3.6*1000000</f>
        <v>509.11196404975709</v>
      </c>
      <c r="G8" s="34"/>
      <c r="H8" s="33"/>
      <c r="I8" s="33"/>
      <c r="J8" s="40">
        <f>C30*'E Balans VL '!D18/100/3.6*1000000+C30*'E Balans VL '!E18/100/3.6*1000000</f>
        <v>0</v>
      </c>
      <c r="K8" s="33"/>
      <c r="L8" s="33"/>
      <c r="M8" s="33"/>
      <c r="N8" s="33">
        <f>C30*'E Balans VL '!Y18/100/3.6*1000000</f>
        <v>40.810500305752839</v>
      </c>
      <c r="O8" s="33"/>
      <c r="P8" s="33"/>
      <c r="R8" s="32"/>
    </row>
    <row r="9" spans="1:18">
      <c r="A9" s="6" t="s">
        <v>32</v>
      </c>
      <c r="B9" s="37">
        <f t="shared" si="0"/>
        <v>2531.973</v>
      </c>
      <c r="C9" s="33"/>
      <c r="D9" s="37">
        <f>IF( ISERROR(IND_andere_gas_kWh/1000),0,IND_andere_gas_kWh/1000)*0.902</f>
        <v>1515.1068646851966</v>
      </c>
      <c r="E9" s="33">
        <f>C31*'E Balans VL '!I19/100/3.6*1000000</f>
        <v>696.18872598664188</v>
      </c>
      <c r="F9" s="33">
        <f>C31*'E Balans VL '!L19/100/3.6*1000000+C31*'E Balans VL '!N19/100/3.6*1000000</f>
        <v>1995.6353189358172</v>
      </c>
      <c r="G9" s="34"/>
      <c r="H9" s="33"/>
      <c r="I9" s="33"/>
      <c r="J9" s="40">
        <f>C31*'E Balans VL '!D19/100/3.6*1000000+C31*'E Balans VL '!E19/100/3.6*1000000</f>
        <v>0</v>
      </c>
      <c r="K9" s="33"/>
      <c r="L9" s="33"/>
      <c r="M9" s="33"/>
      <c r="N9" s="33">
        <f>C31*'E Balans VL '!Y19/100/3.6*1000000</f>
        <v>203.97734041664364</v>
      </c>
      <c r="O9" s="33"/>
      <c r="P9" s="33"/>
      <c r="R9" s="32"/>
    </row>
    <row r="10" spans="1:18">
      <c r="A10" s="6" t="s">
        <v>40</v>
      </c>
      <c r="B10" s="37">
        <f t="shared" si="0"/>
        <v>2230.4670000000001</v>
      </c>
      <c r="C10" s="33"/>
      <c r="D10" s="37">
        <f>IF( ISERROR(IND_voed_gas_kWh/1000),0,IND_voed_gas_kWh/1000)*0.902</f>
        <v>2064.6324707331578</v>
      </c>
      <c r="E10" s="33">
        <f>C32*'E Balans VL '!I20/100/3.6*1000000</f>
        <v>22.738382293718299</v>
      </c>
      <c r="F10" s="33">
        <f>C32*'E Balans VL '!L20/100/3.6*1000000+C32*'E Balans VL '!N20/100/3.6*1000000</f>
        <v>4213.3382127755449</v>
      </c>
      <c r="G10" s="34"/>
      <c r="H10" s="33"/>
      <c r="I10" s="33"/>
      <c r="J10" s="40">
        <f>C32*'E Balans VL '!D20/100/3.6*1000000+C32*'E Balans VL '!E20/100/3.6*1000000</f>
        <v>53.382373431065503</v>
      </c>
      <c r="K10" s="33"/>
      <c r="L10" s="33"/>
      <c r="M10" s="33"/>
      <c r="N10" s="33">
        <f>C32*'E Balans VL '!Y20/100/3.6*1000000</f>
        <v>1175.7130272941627</v>
      </c>
      <c r="O10" s="33"/>
      <c r="P10" s="33"/>
      <c r="R10" s="32"/>
    </row>
    <row r="11" spans="1:18">
      <c r="A11" s="6" t="s">
        <v>39</v>
      </c>
      <c r="B11" s="37">
        <f t="shared" si="0"/>
        <v>195.8296</v>
      </c>
      <c r="C11" s="33"/>
      <c r="D11" s="37">
        <f>IF( ISERROR(IND_textiel_gas_kWh/1000),0,IND_textiel_gas_kWh/1000)*0.902</f>
        <v>0</v>
      </c>
      <c r="E11" s="33">
        <f>C33*'E Balans VL '!I21/100/3.6*1000000</f>
        <v>0.51904424326781562</v>
      </c>
      <c r="F11" s="33">
        <f>C33*'E Balans VL '!L21/100/3.6*1000000+C33*'E Balans VL '!N21/100/3.6*1000000</f>
        <v>8.7459519492747084</v>
      </c>
      <c r="G11" s="34"/>
      <c r="H11" s="33"/>
      <c r="I11" s="33"/>
      <c r="J11" s="40">
        <f>C33*'E Balans VL '!D21/100/3.6*1000000+C33*'E Balans VL '!E21/100/3.6*1000000</f>
        <v>0</v>
      </c>
      <c r="K11" s="33"/>
      <c r="L11" s="33"/>
      <c r="M11" s="33"/>
      <c r="N11" s="33">
        <f>C33*'E Balans VL '!Y21/100/3.6*1000000</f>
        <v>1.8455539927554054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4629.634</v>
      </c>
      <c r="C13" s="33"/>
      <c r="D13" s="37">
        <f>IF( ISERROR(IND_papier_gas_kWh/1000),0,IND_papier_gas_kWh/1000)*0.902</f>
        <v>572.07569641380769</v>
      </c>
      <c r="E13" s="33">
        <f>C35*'E Balans VL '!I23/100/3.6*1000000</f>
        <v>9.5882845067703055</v>
      </c>
      <c r="F13" s="33">
        <f>C35*'E Balans VL '!L23/100/3.6*1000000+C35*'E Balans VL '!N23/100/3.6*1000000</f>
        <v>91.81556736643762</v>
      </c>
      <c r="G13" s="34"/>
      <c r="H13" s="33"/>
      <c r="I13" s="33"/>
      <c r="J13" s="40">
        <f>C35*'E Balans VL '!D23/100/3.6*1000000+C35*'E Balans VL '!E23/100/3.6*1000000</f>
        <v>0</v>
      </c>
      <c r="K13" s="33"/>
      <c r="L13" s="33"/>
      <c r="M13" s="33"/>
      <c r="N13" s="33">
        <f>C35*'E Balans VL '!Y23/100/3.6*1000000</f>
        <v>321.08851860204635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15446.138999999999</v>
      </c>
      <c r="C15" s="33"/>
      <c r="D15" s="37">
        <f>IF( ISERROR(IND_rest_gas_kWh/1000),0,IND_rest_gas_kWh/1000)*0.902</f>
        <v>23223.518805548083</v>
      </c>
      <c r="E15" s="33">
        <f>C37*'E Balans VL '!I15/100/3.6*1000000</f>
        <v>785.79313380642009</v>
      </c>
      <c r="F15" s="33">
        <f>C37*'E Balans VL '!L15/100/3.6*1000000+C37*'E Balans VL '!N15/100/3.6*1000000</f>
        <v>3520.7562269559439</v>
      </c>
      <c r="G15" s="34"/>
      <c r="H15" s="33"/>
      <c r="I15" s="33"/>
      <c r="J15" s="40">
        <f>C37*'E Balans VL '!D15/100/3.6*1000000+C37*'E Balans VL '!E15/100/3.6*1000000</f>
        <v>64.801655904754924</v>
      </c>
      <c r="K15" s="33"/>
      <c r="L15" s="33"/>
      <c r="M15" s="33"/>
      <c r="N15" s="33">
        <f>C37*'E Balans VL '!Y15/100/3.6*1000000</f>
        <v>841.4592660046635</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26658.496599999999</v>
      </c>
      <c r="C18" s="21">
        <f>C5+C16</f>
        <v>0</v>
      </c>
      <c r="D18" s="21">
        <f>MAX((D5+D16),0)</f>
        <v>29966.32001861059</v>
      </c>
      <c r="E18" s="21">
        <f>MAX((E5+E16),0)</f>
        <v>1555.4819689896215</v>
      </c>
      <c r="F18" s="21">
        <f>MAX((F5+F16),0)</f>
        <v>10339.403242032775</v>
      </c>
      <c r="G18" s="21"/>
      <c r="H18" s="21"/>
      <c r="I18" s="21"/>
      <c r="J18" s="21">
        <f>MAX((J5+J16),0)</f>
        <v>118.18402933582043</v>
      </c>
      <c r="K18" s="21"/>
      <c r="L18" s="21">
        <f>MAX((L5+L16),0)</f>
        <v>0</v>
      </c>
      <c r="M18" s="21"/>
      <c r="N18" s="21">
        <f>MAX((N5+N16),0)</f>
        <v>2584.8942066160243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0.20267896532313154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5403.1165079582197</v>
      </c>
      <c r="C22" s="23">
        <f ca="1">C18*C20</f>
        <v>0</v>
      </c>
      <c r="D22" s="23">
        <f>D18*D20</f>
        <v>6053.1966437593392</v>
      </c>
      <c r="E22" s="23">
        <f>E18*E20</f>
        <v>353.09440696064411</v>
      </c>
      <c r="F22" s="23">
        <f>F18*F20</f>
        <v>2760.6206656227509</v>
      </c>
      <c r="G22" s="23"/>
      <c r="H22" s="23"/>
      <c r="I22" s="23"/>
      <c r="J22" s="23">
        <f>J18*J20</f>
        <v>41.837146384880427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1624.454</v>
      </c>
      <c r="C30" s="39">
        <f>IF(ISERROR(B30*3.6/1000000/'E Balans VL '!Z18*100),0,B30*3.6/1000000/'E Balans VL '!Z18*100)</f>
        <v>0.2273694244723983</v>
      </c>
      <c r="D30" s="237" t="s">
        <v>691</v>
      </c>
    </row>
    <row r="31" spans="1:18">
      <c r="A31" s="6" t="s">
        <v>32</v>
      </c>
      <c r="B31" s="37">
        <f>IF( ISERROR(IND_ander_ele_kWh/1000),0,IND_ander_ele_kWh/1000)</f>
        <v>2531.973</v>
      </c>
      <c r="C31" s="39">
        <f>IF(ISERROR(B31*3.6/1000000/'E Balans VL '!Z19*100),0,B31*3.6/1000000/'E Balans VL '!Z19*100)</f>
        <v>0.11082404746562316</v>
      </c>
      <c r="D31" s="237" t="s">
        <v>691</v>
      </c>
    </row>
    <row r="32" spans="1:18">
      <c r="A32" s="171" t="s">
        <v>40</v>
      </c>
      <c r="B32" s="37">
        <f>IF( ISERROR(IND_voed_ele_kWh/1000),0,IND_voed_ele_kWh/1000)</f>
        <v>2230.4670000000001</v>
      </c>
      <c r="C32" s="39">
        <f>IF(ISERROR(B32*3.6/1000000/'E Balans VL '!Z20*100),0,B32*3.6/1000000/'E Balans VL '!Z20*100)</f>
        <v>0.55218955904447609</v>
      </c>
      <c r="D32" s="237" t="s">
        <v>691</v>
      </c>
    </row>
    <row r="33" spans="1:5">
      <c r="A33" s="171" t="s">
        <v>39</v>
      </c>
      <c r="B33" s="37">
        <f>IF( ISERROR(IND_textiel_ele_kWh/1000),0,IND_textiel_ele_kWh/1000)</f>
        <v>195.8296</v>
      </c>
      <c r="C33" s="39">
        <f>IF(ISERROR(B33*3.6/1000000/'E Balans VL '!Z21*100),0,B33*3.6/1000000/'E Balans VL '!Z21*100)</f>
        <v>2.2066546349815037E-2</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4629.634</v>
      </c>
      <c r="C35" s="39">
        <f>IF(ISERROR(B35*3.6/1000000/'E Balans VL '!Z22*100),0,B35*3.6/1000000/'E Balans VL '!Z22*100)</f>
        <v>0.13137012502839945</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15446.138999999999</v>
      </c>
      <c r="C37" s="39">
        <f>IF(ISERROR(B37*3.6/1000000/'E Balans VL '!Z15*100),0,B37*3.6/1000000/'E Balans VL '!Z15*100)</f>
        <v>0.11453047619409773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3868.9654999999998</v>
      </c>
      <c r="C5" s="17">
        <f>'Eigen informatie GS &amp; warmtenet'!B60</f>
        <v>0</v>
      </c>
      <c r="D5" s="30">
        <f>IF(ISERROR(SUM(LB_lb_gas_kWh,LB_rest_gas_kWh)/1000),0,SUM(LB_lb_gas_kWh,LB_rest_gas_kWh)/1000)*0.902</f>
        <v>300.87023028857016</v>
      </c>
      <c r="E5" s="17">
        <f>B17*'E Balans VL '!I25/3.6*1000000/100</f>
        <v>35.835978932708279</v>
      </c>
      <c r="F5" s="17">
        <f>B17*('E Balans VL '!L25/3.6*1000000+'E Balans VL '!N25/3.6*1000000)/100</f>
        <v>9816.3025106713867</v>
      </c>
      <c r="G5" s="18"/>
      <c r="H5" s="17"/>
      <c r="I5" s="17"/>
      <c r="J5" s="17">
        <f>('E Balans VL '!D25+'E Balans VL '!E25)/3.6*1000000*landbouw!B17/100</f>
        <v>593.15558893099853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3868.9654999999998</v>
      </c>
      <c r="C8" s="21">
        <f>C5+C6</f>
        <v>0</v>
      </c>
      <c r="D8" s="21">
        <f>MAX((D5+D6),0)</f>
        <v>300.87023028857016</v>
      </c>
      <c r="E8" s="21">
        <f>MAX((E5+E6),0)</f>
        <v>35.835978932708279</v>
      </c>
      <c r="F8" s="21">
        <f>MAX((F5+F6),0)</f>
        <v>9816.3025106713867</v>
      </c>
      <c r="G8" s="21"/>
      <c r="H8" s="21"/>
      <c r="I8" s="21"/>
      <c r="J8" s="21">
        <f>MAX((J5+J6),0)</f>
        <v>593.15558893099853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0.20267896532313154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784.15792441089218</v>
      </c>
      <c r="C12" s="23">
        <f ca="1">C8*C10</f>
        <v>0</v>
      </c>
      <c r="D12" s="23">
        <f>D8*D10</f>
        <v>60.775786518291177</v>
      </c>
      <c r="E12" s="23">
        <f>E8*E10</f>
        <v>8.1347672177247805</v>
      </c>
      <c r="F12" s="23">
        <f>F8*F10</f>
        <v>2620.9527703492604</v>
      </c>
      <c r="G12" s="23"/>
      <c r="H12" s="23"/>
      <c r="I12" s="23"/>
      <c r="J12" s="23">
        <f>J8*J10</f>
        <v>209.97707848157347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0.55008485785151073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898.22427503073027</v>
      </c>
      <c r="C26" s="247">
        <f>B26*'GWP N2O_CH4'!B5</f>
        <v>18862.709775645337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420.99079415931118</v>
      </c>
      <c r="C27" s="247">
        <f>B27*'GWP N2O_CH4'!B5</f>
        <v>8840.8066773455339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12.860770373509357</v>
      </c>
      <c r="C28" s="247">
        <f>B28*'GWP N2O_CH4'!B4</f>
        <v>3986.8388157879008</v>
      </c>
      <c r="D28" s="50"/>
    </row>
    <row r="29" spans="1:4">
      <c r="A29" s="41" t="s">
        <v>276</v>
      </c>
      <c r="B29" s="247">
        <f>B34*'ha_N2O bodem landbouw'!B4</f>
        <v>31.007082999308647</v>
      </c>
      <c r="C29" s="247">
        <f>B29*'GWP N2O_CH4'!B4</f>
        <v>9612.1957297856807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6.9543424553401749E-3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1.5401841630354585E-4</v>
      </c>
      <c r="C5" s="438" t="s">
        <v>210</v>
      </c>
      <c r="D5" s="423">
        <f>SUM(D6:D11)</f>
        <v>2.9118187133048812E-4</v>
      </c>
      <c r="E5" s="423">
        <f>SUM(E6:E11)</f>
        <v>3.2459703508591143E-3</v>
      </c>
      <c r="F5" s="436" t="s">
        <v>210</v>
      </c>
      <c r="G5" s="423">
        <f>SUM(G6:G11)</f>
        <v>1.1719149751020548</v>
      </c>
      <c r="H5" s="423">
        <f>SUM(H6:H11)</f>
        <v>0.18261787441365343</v>
      </c>
      <c r="I5" s="438" t="s">
        <v>210</v>
      </c>
      <c r="J5" s="438" t="s">
        <v>210</v>
      </c>
      <c r="K5" s="438" t="s">
        <v>210</v>
      </c>
      <c r="L5" s="438" t="s">
        <v>210</v>
      </c>
      <c r="M5" s="423">
        <f>SUM(M6:M11)</f>
        <v>7.3514659692551568E-2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3.1213539276423146E-5</v>
      </c>
      <c r="C6" s="424"/>
      <c r="D6" s="866">
        <f>vkm_GW_PW*SUMIFS(TableVerdeelsleutelVkm[CNG],TableVerdeelsleutelVkm[Voertuigtype],"Lichte voertuigen")*SUMIFS(TableECFTransport[EnergieConsumptieFactor (PJ per km)],TableECFTransport[Index],CONCATENATE($A6,"_CNG_CNG"))</f>
        <v>5.4467141832460956E-5</v>
      </c>
      <c r="E6" s="866">
        <f>vkm_GW_PW*SUMIFS(TableVerdeelsleutelVkm[LPG],TableVerdeelsleutelVkm[Voertuigtype],"Lichte voertuigen")*SUMIFS(TableECFTransport[EnergieConsumptieFactor (PJ per km)],TableECFTransport[Index],CONCATENATE($A6,"_LPG_LPG"))</f>
        <v>5.275410431818939E-4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0.12398122251114166</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3.3355363780870208E-2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8.2055124879154388E-3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6.7599514824847037E-2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1.310969464701587E-6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3.9192670433678776E-3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1.6158808555888801E-5</v>
      </c>
      <c r="C8" s="424"/>
      <c r="D8" s="426">
        <f>vkm_NGW_PW*SUMIFS(TableVerdeelsleutelVkm[CNG],TableVerdeelsleutelVkm[Voertuigtype],"Lichte voertuigen")*SUMIFS(TableECFTransport[EnergieConsumptieFactor (PJ per km)],TableECFTransport[Index],CONCATENATE($A8,"_CNG_CNG"))</f>
        <v>4.8283353448110649E-5</v>
      </c>
      <c r="E8" s="426">
        <f>vkm_NGW_PW*SUMIFS(TableVerdeelsleutelVkm[LPG],TableVerdeelsleutelVkm[Voertuigtype],"Lichte voertuigen")*SUMIFS(TableECFTransport[EnergieConsumptieFactor (PJ per km)],TableECFTransport[Index],CONCATENATE($A8,"_LPG_LPG"))</f>
        <v>4.4256068021268993E-4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9.7629684350466261E-2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2.8549594256009118E-2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6.5311356309056901E-3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2.8744138779733294E-2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6.9048555152847867E-7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1.6665242411598689E-3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1.0664606847123389E-4</v>
      </c>
      <c r="C10" s="424"/>
      <c r="D10" s="426">
        <f>vkm_SW_PW*SUMIFS(TableVerdeelsleutelVkm[CNG],TableVerdeelsleutelVkm[Voertuigtype],"Lichte voertuigen")*SUMIFS(TableECFTransport[EnergieConsumptieFactor (PJ per km)],TableECFTransport[Index],CONCATENATE($A10,"_CNG_CNG"))</f>
        <v>1.8843137604991652E-4</v>
      </c>
      <c r="E10" s="426">
        <f>vkm_SW_PW*SUMIFS(TableVerdeelsleutelVkm[LPG],TableVerdeelsleutelVkm[Voertuigtype],"Lichte voertuigen")*SUMIFS(TableECFTransport[EnergieConsumptieFactor (PJ per km)],TableECFTransport[Index],CONCATENATE($A10,"_LPG_LPG"))</f>
        <v>2.2758686274645303E-3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0.48093902358708424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0.12070322851294946</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3.1565269549844566E-2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0.37302139104878235</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7.6864088084114467E-6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2.1626950739358119E-2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42.782893417651621</v>
      </c>
      <c r="C14" s="21"/>
      <c r="D14" s="21">
        <f t="shared" ref="D14:M14" si="0">((D5)*10^9/3600)+D12</f>
        <v>80.883853147357812</v>
      </c>
      <c r="E14" s="21">
        <f t="shared" si="0"/>
        <v>901.65843079419847</v>
      </c>
      <c r="F14" s="21"/>
      <c r="G14" s="21">
        <f t="shared" si="0"/>
        <v>325531.93752834859</v>
      </c>
      <c r="H14" s="21">
        <f t="shared" si="0"/>
        <v>50727.187337125957</v>
      </c>
      <c r="I14" s="21"/>
      <c r="J14" s="21"/>
      <c r="K14" s="21"/>
      <c r="L14" s="21"/>
      <c r="M14" s="21">
        <f t="shared" si="0"/>
        <v>20420.738803486547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0.20267896532313154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8.6711925714194447</v>
      </c>
      <c r="C18" s="23"/>
      <c r="D18" s="23">
        <f t="shared" ref="D18:M18" si="1">D14*D16</f>
        <v>16.33853833576628</v>
      </c>
      <c r="E18" s="23">
        <f t="shared" si="1"/>
        <v>204.67646379028307</v>
      </c>
      <c r="F18" s="23"/>
      <c r="G18" s="23">
        <f t="shared" si="1"/>
        <v>86917.027320069072</v>
      </c>
      <c r="H18" s="23">
        <f t="shared" si="1"/>
        <v>12631.069646944363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5.6801426147312459E-3</v>
      </c>
      <c r="H50" s="319">
        <f t="shared" si="2"/>
        <v>0</v>
      </c>
      <c r="I50" s="319">
        <f t="shared" si="2"/>
        <v>0</v>
      </c>
      <c r="J50" s="319">
        <f t="shared" si="2"/>
        <v>0</v>
      </c>
      <c r="K50" s="319">
        <f t="shared" si="2"/>
        <v>0</v>
      </c>
      <c r="L50" s="319">
        <f t="shared" si="2"/>
        <v>0</v>
      </c>
      <c r="M50" s="319">
        <f t="shared" si="2"/>
        <v>3.24659663163149E-4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5.6801426147312459E-3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3.24659663163149E-4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1577.8173929809016</v>
      </c>
      <c r="H54" s="21">
        <f t="shared" si="3"/>
        <v>0</v>
      </c>
      <c r="I54" s="21">
        <f t="shared" si="3"/>
        <v>0</v>
      </c>
      <c r="J54" s="21">
        <f t="shared" si="3"/>
        <v>0</v>
      </c>
      <c r="K54" s="21">
        <f t="shared" si="3"/>
        <v>0</v>
      </c>
      <c r="L54" s="21">
        <f t="shared" si="3"/>
        <v>0</v>
      </c>
      <c r="M54" s="21">
        <f t="shared" si="3"/>
        <v>90.18323976754138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0.20267896532313154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421.27724392590073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30186.858100000001</v>
      </c>
      <c r="D10" s="991">
        <f ca="1">tertiair!C16</f>
        <v>0</v>
      </c>
      <c r="E10" s="991">
        <f ca="1">tertiair!D16</f>
        <v>22620.407995027053</v>
      </c>
      <c r="F10" s="991">
        <f>tertiair!E16</f>
        <v>295.26690111263514</v>
      </c>
      <c r="G10" s="991">
        <f ca="1">tertiair!F16</f>
        <v>4139.8037703228811</v>
      </c>
      <c r="H10" s="991">
        <f>tertiair!G16</f>
        <v>0</v>
      </c>
      <c r="I10" s="991">
        <f>tertiair!H16</f>
        <v>0</v>
      </c>
      <c r="J10" s="991">
        <f>tertiair!I16</f>
        <v>0</v>
      </c>
      <c r="K10" s="991">
        <f>tertiair!J16</f>
        <v>0</v>
      </c>
      <c r="L10" s="991">
        <f>tertiair!K16</f>
        <v>0</v>
      </c>
      <c r="M10" s="991">
        <f ca="1">tertiair!L16</f>
        <v>0</v>
      </c>
      <c r="N10" s="991">
        <f>tertiair!M16</f>
        <v>0</v>
      </c>
      <c r="O10" s="991">
        <f ca="1">tertiair!N16</f>
        <v>2030.6370943789277</v>
      </c>
      <c r="P10" s="991">
        <f>tertiair!O16</f>
        <v>4.6900000000000004</v>
      </c>
      <c r="Q10" s="992">
        <f>tertiair!P16</f>
        <v>0</v>
      </c>
      <c r="R10" s="675">
        <f ca="1">SUM(C10:Q10)</f>
        <v>59277.663860841501</v>
      </c>
      <c r="S10" s="67"/>
    </row>
    <row r="11" spans="1:19" s="448" customFormat="1">
      <c r="A11" s="784" t="s">
        <v>224</v>
      </c>
      <c r="B11" s="789"/>
      <c r="C11" s="991">
        <f>huishoudens!B8</f>
        <v>45626.289618998577</v>
      </c>
      <c r="D11" s="991">
        <f>huishoudens!C8</f>
        <v>0</v>
      </c>
      <c r="E11" s="991">
        <f>huishoudens!D8</f>
        <v>67392.700137643318</v>
      </c>
      <c r="F11" s="991">
        <f>huishoudens!E8</f>
        <v>36269.47528894696</v>
      </c>
      <c r="G11" s="991">
        <f>huishoudens!F8</f>
        <v>24057.913914114197</v>
      </c>
      <c r="H11" s="991">
        <f>huishoudens!G8</f>
        <v>0</v>
      </c>
      <c r="I11" s="991">
        <f>huishoudens!H8</f>
        <v>0</v>
      </c>
      <c r="J11" s="991">
        <f>huishoudens!I8</f>
        <v>0</v>
      </c>
      <c r="K11" s="991">
        <f>huishoudens!J8</f>
        <v>856.094453816851</v>
      </c>
      <c r="L11" s="991">
        <f>huishoudens!K8</f>
        <v>0</v>
      </c>
      <c r="M11" s="991">
        <f>huishoudens!L8</f>
        <v>0</v>
      </c>
      <c r="N11" s="991">
        <f>huishoudens!M8</f>
        <v>0</v>
      </c>
      <c r="O11" s="991">
        <f>huishoudens!N8</f>
        <v>24813.490219774321</v>
      </c>
      <c r="P11" s="991">
        <f>huishoudens!O8</f>
        <v>415.84666666666669</v>
      </c>
      <c r="Q11" s="992">
        <f>huishoudens!P8</f>
        <v>877.06666666666661</v>
      </c>
      <c r="R11" s="675">
        <f>SUM(C11:Q11)</f>
        <v>200308.87696662758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26658.496599999999</v>
      </c>
      <c r="D13" s="991">
        <f>industrie!C18</f>
        <v>0</v>
      </c>
      <c r="E13" s="991">
        <f>industrie!D18</f>
        <v>29966.32001861059</v>
      </c>
      <c r="F13" s="991">
        <f>industrie!E18</f>
        <v>1555.4819689896215</v>
      </c>
      <c r="G13" s="991">
        <f>industrie!F18</f>
        <v>10339.403242032775</v>
      </c>
      <c r="H13" s="991">
        <f>industrie!G18</f>
        <v>0</v>
      </c>
      <c r="I13" s="991">
        <f>industrie!H18</f>
        <v>0</v>
      </c>
      <c r="J13" s="991">
        <f>industrie!I18</f>
        <v>0</v>
      </c>
      <c r="K13" s="991">
        <f>industrie!J18</f>
        <v>118.18402933582043</v>
      </c>
      <c r="L13" s="991">
        <f>industrie!K18</f>
        <v>0</v>
      </c>
      <c r="M13" s="991">
        <f>industrie!L18</f>
        <v>0</v>
      </c>
      <c r="N13" s="991">
        <f>industrie!M18</f>
        <v>0</v>
      </c>
      <c r="O13" s="991">
        <f>industrie!N18</f>
        <v>2584.8942066160243</v>
      </c>
      <c r="P13" s="991">
        <f>industrie!O18</f>
        <v>0</v>
      </c>
      <c r="Q13" s="992">
        <f>industrie!P18</f>
        <v>0</v>
      </c>
      <c r="R13" s="675">
        <f>SUM(C13:Q13)</f>
        <v>71222.78006558484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102471.64431899857</v>
      </c>
      <c r="D16" s="707">
        <f t="shared" ref="D16:R16" ca="1" si="0">SUM(D9:D15)</f>
        <v>0</v>
      </c>
      <c r="E16" s="707">
        <f t="shared" ca="1" si="0"/>
        <v>119979.42815128097</v>
      </c>
      <c r="F16" s="707">
        <f t="shared" si="0"/>
        <v>38120.224159049219</v>
      </c>
      <c r="G16" s="707">
        <f t="shared" ca="1" si="0"/>
        <v>38537.120926469855</v>
      </c>
      <c r="H16" s="707">
        <f t="shared" si="0"/>
        <v>0</v>
      </c>
      <c r="I16" s="707">
        <f t="shared" si="0"/>
        <v>0</v>
      </c>
      <c r="J16" s="707">
        <f t="shared" si="0"/>
        <v>0</v>
      </c>
      <c r="K16" s="707">
        <f t="shared" si="0"/>
        <v>974.27848315267147</v>
      </c>
      <c r="L16" s="707">
        <f t="shared" si="0"/>
        <v>0</v>
      </c>
      <c r="M16" s="707">
        <f t="shared" ca="1" si="0"/>
        <v>0</v>
      </c>
      <c r="N16" s="707">
        <f t="shared" si="0"/>
        <v>0</v>
      </c>
      <c r="O16" s="707">
        <f t="shared" ca="1" si="0"/>
        <v>29429.021520769271</v>
      </c>
      <c r="P16" s="707">
        <f t="shared" si="0"/>
        <v>420.53666666666669</v>
      </c>
      <c r="Q16" s="707">
        <f t="shared" si="0"/>
        <v>877.06666666666661</v>
      </c>
      <c r="R16" s="707">
        <f t="shared" ca="1" si="0"/>
        <v>330809.3208930539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1577.8173929809016</v>
      </c>
      <c r="I19" s="991">
        <f>transport!H54</f>
        <v>0</v>
      </c>
      <c r="J19" s="991">
        <f>transport!I54</f>
        <v>0</v>
      </c>
      <c r="K19" s="991">
        <f>transport!J54</f>
        <v>0</v>
      </c>
      <c r="L19" s="991">
        <f>transport!K54</f>
        <v>0</v>
      </c>
      <c r="M19" s="991">
        <f>transport!L54</f>
        <v>0</v>
      </c>
      <c r="N19" s="991">
        <f>transport!M54</f>
        <v>90.18323976754138</v>
      </c>
      <c r="O19" s="991">
        <f>transport!N54</f>
        <v>0</v>
      </c>
      <c r="P19" s="991">
        <f>transport!O54</f>
        <v>0</v>
      </c>
      <c r="Q19" s="992">
        <f>transport!P54</f>
        <v>0</v>
      </c>
      <c r="R19" s="675">
        <f>SUM(C19:Q19)</f>
        <v>1668.000632748443</v>
      </c>
      <c r="S19" s="67"/>
    </row>
    <row r="20" spans="1:19" s="448" customFormat="1">
      <c r="A20" s="784" t="s">
        <v>306</v>
      </c>
      <c r="B20" s="789"/>
      <c r="C20" s="991">
        <f>transport!B14</f>
        <v>42.782893417651621</v>
      </c>
      <c r="D20" s="991">
        <f>transport!C14</f>
        <v>0</v>
      </c>
      <c r="E20" s="991">
        <f>transport!D14</f>
        <v>80.883853147357812</v>
      </c>
      <c r="F20" s="991">
        <f>transport!E14</f>
        <v>901.65843079419847</v>
      </c>
      <c r="G20" s="991">
        <f>transport!F14</f>
        <v>0</v>
      </c>
      <c r="H20" s="991">
        <f>transport!G14</f>
        <v>325531.93752834859</v>
      </c>
      <c r="I20" s="991">
        <f>transport!H14</f>
        <v>50727.187337125957</v>
      </c>
      <c r="J20" s="991">
        <f>transport!I14</f>
        <v>0</v>
      </c>
      <c r="K20" s="991">
        <f>transport!J14</f>
        <v>0</v>
      </c>
      <c r="L20" s="991">
        <f>transport!K14</f>
        <v>0</v>
      </c>
      <c r="M20" s="991">
        <f>transport!L14</f>
        <v>0</v>
      </c>
      <c r="N20" s="991">
        <f>transport!M14</f>
        <v>20420.738803486547</v>
      </c>
      <c r="O20" s="991">
        <f>transport!N14</f>
        <v>0</v>
      </c>
      <c r="P20" s="991">
        <f>transport!O14</f>
        <v>0</v>
      </c>
      <c r="Q20" s="992">
        <f>transport!P14</f>
        <v>0</v>
      </c>
      <c r="R20" s="675">
        <f>SUM(C20:Q20)</f>
        <v>397705.18884632032</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42.782893417651621</v>
      </c>
      <c r="D22" s="787">
        <f t="shared" ref="D22:R22" si="1">SUM(D18:D21)</f>
        <v>0</v>
      </c>
      <c r="E22" s="787">
        <f t="shared" si="1"/>
        <v>80.883853147357812</v>
      </c>
      <c r="F22" s="787">
        <f t="shared" si="1"/>
        <v>901.65843079419847</v>
      </c>
      <c r="G22" s="787">
        <f t="shared" si="1"/>
        <v>0</v>
      </c>
      <c r="H22" s="787">
        <f t="shared" si="1"/>
        <v>327109.7549213295</v>
      </c>
      <c r="I22" s="787">
        <f t="shared" si="1"/>
        <v>50727.187337125957</v>
      </c>
      <c r="J22" s="787">
        <f t="shared" si="1"/>
        <v>0</v>
      </c>
      <c r="K22" s="787">
        <f t="shared" si="1"/>
        <v>0</v>
      </c>
      <c r="L22" s="787">
        <f t="shared" si="1"/>
        <v>0</v>
      </c>
      <c r="M22" s="787">
        <f t="shared" si="1"/>
        <v>0</v>
      </c>
      <c r="N22" s="787">
        <f t="shared" si="1"/>
        <v>20510.92204325409</v>
      </c>
      <c r="O22" s="787">
        <f t="shared" si="1"/>
        <v>0</v>
      </c>
      <c r="P22" s="787">
        <f t="shared" si="1"/>
        <v>0</v>
      </c>
      <c r="Q22" s="787">
        <f t="shared" si="1"/>
        <v>0</v>
      </c>
      <c r="R22" s="787">
        <f t="shared" si="1"/>
        <v>399373.18947906874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3868.9654999999998</v>
      </c>
      <c r="D24" s="991">
        <f>+landbouw!C8</f>
        <v>0</v>
      </c>
      <c r="E24" s="991">
        <f>+landbouw!D8</f>
        <v>300.87023028857016</v>
      </c>
      <c r="F24" s="991">
        <f>+landbouw!E8</f>
        <v>35.835978932708279</v>
      </c>
      <c r="G24" s="991">
        <f>+landbouw!F8</f>
        <v>9816.3025106713867</v>
      </c>
      <c r="H24" s="991">
        <f>+landbouw!G8</f>
        <v>0</v>
      </c>
      <c r="I24" s="991">
        <f>+landbouw!H8</f>
        <v>0</v>
      </c>
      <c r="J24" s="991">
        <f>+landbouw!I8</f>
        <v>0</v>
      </c>
      <c r="K24" s="991">
        <f>+landbouw!J8</f>
        <v>593.15558893099853</v>
      </c>
      <c r="L24" s="991">
        <f>+landbouw!K8</f>
        <v>0</v>
      </c>
      <c r="M24" s="991">
        <f>+landbouw!L8</f>
        <v>0</v>
      </c>
      <c r="N24" s="991">
        <f>+landbouw!M8</f>
        <v>0</v>
      </c>
      <c r="O24" s="991">
        <f>+landbouw!N8</f>
        <v>0</v>
      </c>
      <c r="P24" s="991">
        <f>+landbouw!O8</f>
        <v>0</v>
      </c>
      <c r="Q24" s="992">
        <f>+landbouw!P8</f>
        <v>0</v>
      </c>
      <c r="R24" s="675">
        <f>SUM(C24:Q24)</f>
        <v>14615.129808823664</v>
      </c>
      <c r="S24" s="67"/>
    </row>
    <row r="25" spans="1:19" s="448" customFormat="1" ht="15" thickBot="1">
      <c r="A25" s="806" t="s">
        <v>849</v>
      </c>
      <c r="B25" s="994"/>
      <c r="C25" s="995">
        <f>IF(Onbekend_ele_kWh="---",0,Onbekend_ele_kWh)/1000+IF(REST_rest_ele_kWh="---",0,REST_rest_ele_kWh)/1000</f>
        <v>2179.4810000000002</v>
      </c>
      <c r="D25" s="995"/>
      <c r="E25" s="995">
        <f>IF(onbekend_gas_kWh="---",0,onbekend_gas_kWh)/1000+IF(REST_rest_gas_kWh="---",0,REST_rest_gas_kWh)/1000</f>
        <v>3015.0845770154101</v>
      </c>
      <c r="F25" s="995"/>
      <c r="G25" s="995"/>
      <c r="H25" s="995"/>
      <c r="I25" s="995"/>
      <c r="J25" s="995"/>
      <c r="K25" s="995"/>
      <c r="L25" s="995"/>
      <c r="M25" s="995"/>
      <c r="N25" s="995"/>
      <c r="O25" s="995"/>
      <c r="P25" s="995"/>
      <c r="Q25" s="996"/>
      <c r="R25" s="675">
        <f>SUM(C25:Q25)</f>
        <v>5194.5655770154099</v>
      </c>
      <c r="S25" s="67"/>
    </row>
    <row r="26" spans="1:19" s="448" customFormat="1" ht="15.75" thickBot="1">
      <c r="A26" s="680" t="s">
        <v>850</v>
      </c>
      <c r="B26" s="792"/>
      <c r="C26" s="787">
        <f>SUM(C24:C25)</f>
        <v>6048.4465</v>
      </c>
      <c r="D26" s="787">
        <f t="shared" ref="D26:R26" si="2">SUM(D24:D25)</f>
        <v>0</v>
      </c>
      <c r="E26" s="787">
        <f t="shared" si="2"/>
        <v>3315.9548073039805</v>
      </c>
      <c r="F26" s="787">
        <f t="shared" si="2"/>
        <v>35.835978932708279</v>
      </c>
      <c r="G26" s="787">
        <f t="shared" si="2"/>
        <v>9816.3025106713867</v>
      </c>
      <c r="H26" s="787">
        <f t="shared" si="2"/>
        <v>0</v>
      </c>
      <c r="I26" s="787">
        <f t="shared" si="2"/>
        <v>0</v>
      </c>
      <c r="J26" s="787">
        <f t="shared" si="2"/>
        <v>0</v>
      </c>
      <c r="K26" s="787">
        <f t="shared" si="2"/>
        <v>593.15558893099853</v>
      </c>
      <c r="L26" s="787">
        <f t="shared" si="2"/>
        <v>0</v>
      </c>
      <c r="M26" s="787">
        <f t="shared" si="2"/>
        <v>0</v>
      </c>
      <c r="N26" s="787">
        <f t="shared" si="2"/>
        <v>0</v>
      </c>
      <c r="O26" s="787">
        <f t="shared" si="2"/>
        <v>0</v>
      </c>
      <c r="P26" s="787">
        <f t="shared" si="2"/>
        <v>0</v>
      </c>
      <c r="Q26" s="787">
        <f t="shared" si="2"/>
        <v>0</v>
      </c>
      <c r="R26" s="787">
        <f t="shared" si="2"/>
        <v>19809.695385839073</v>
      </c>
      <c r="S26" s="67"/>
    </row>
    <row r="27" spans="1:19" s="448" customFormat="1" ht="17.25" thickTop="1" thickBot="1">
      <c r="A27" s="681" t="s">
        <v>115</v>
      </c>
      <c r="B27" s="780"/>
      <c r="C27" s="682">
        <f ca="1">C22+C16+C26</f>
        <v>108562.87371241623</v>
      </c>
      <c r="D27" s="682">
        <f t="shared" ref="D27:R27" ca="1" si="3">D22+D16+D26</f>
        <v>0</v>
      </c>
      <c r="E27" s="682">
        <f t="shared" ca="1" si="3"/>
        <v>123376.2668117323</v>
      </c>
      <c r="F27" s="682">
        <f t="shared" si="3"/>
        <v>39057.718568776123</v>
      </c>
      <c r="G27" s="682">
        <f t="shared" ca="1" si="3"/>
        <v>48353.423437141246</v>
      </c>
      <c r="H27" s="682">
        <f t="shared" si="3"/>
        <v>327109.7549213295</v>
      </c>
      <c r="I27" s="682">
        <f t="shared" si="3"/>
        <v>50727.187337125957</v>
      </c>
      <c r="J27" s="682">
        <f t="shared" si="3"/>
        <v>0</v>
      </c>
      <c r="K27" s="682">
        <f t="shared" si="3"/>
        <v>1567.4340720836699</v>
      </c>
      <c r="L27" s="682">
        <f t="shared" si="3"/>
        <v>0</v>
      </c>
      <c r="M27" s="682">
        <f t="shared" ca="1" si="3"/>
        <v>0</v>
      </c>
      <c r="N27" s="682">
        <f t="shared" si="3"/>
        <v>20510.92204325409</v>
      </c>
      <c r="O27" s="682">
        <f t="shared" ca="1" si="3"/>
        <v>29429.021520769271</v>
      </c>
      <c r="P27" s="682">
        <f t="shared" si="3"/>
        <v>420.53666666666669</v>
      </c>
      <c r="Q27" s="682">
        <f t="shared" si="3"/>
        <v>877.06666666666661</v>
      </c>
      <c r="R27" s="682">
        <f t="shared" ca="1" si="3"/>
        <v>749992.20575796172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6118.2411660641928</v>
      </c>
      <c r="D40" s="991">
        <f ca="1">tertiair!C20</f>
        <v>0</v>
      </c>
      <c r="E40" s="991">
        <f ca="1">tertiair!D20</f>
        <v>4569.3224149954649</v>
      </c>
      <c r="F40" s="991">
        <f>tertiair!E20</f>
        <v>67.025586552568186</v>
      </c>
      <c r="G40" s="991">
        <f ca="1">tertiair!F20</f>
        <v>1105.3276066762094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11859.916774288436</v>
      </c>
    </row>
    <row r="41" spans="1:18">
      <c r="A41" s="797" t="s">
        <v>224</v>
      </c>
      <c r="B41" s="804"/>
      <c r="C41" s="991">
        <f ca="1">huishoudens!B12</f>
        <v>9247.4891715121685</v>
      </c>
      <c r="D41" s="991">
        <f ca="1">huishoudens!C12</f>
        <v>0</v>
      </c>
      <c r="E41" s="991">
        <f>huishoudens!D12</f>
        <v>13613.325427803951</v>
      </c>
      <c r="F41" s="991">
        <f>huishoudens!E12</f>
        <v>8233.17089059096</v>
      </c>
      <c r="G41" s="991">
        <f>huishoudens!F12</f>
        <v>6423.4630150684907</v>
      </c>
      <c r="H41" s="991">
        <f>huishoudens!G12</f>
        <v>0</v>
      </c>
      <c r="I41" s="991">
        <f>huishoudens!H12</f>
        <v>0</v>
      </c>
      <c r="J41" s="991">
        <f>huishoudens!I12</f>
        <v>0</v>
      </c>
      <c r="K41" s="991">
        <f>huishoudens!J12</f>
        <v>303.05743665116523</v>
      </c>
      <c r="L41" s="991">
        <f>huishoudens!K12</f>
        <v>0</v>
      </c>
      <c r="M41" s="991">
        <f>huishoudens!L12</f>
        <v>0</v>
      </c>
      <c r="N41" s="991">
        <f>huishoudens!M12</f>
        <v>0</v>
      </c>
      <c r="O41" s="991">
        <f>huishoudens!N12</f>
        <v>0</v>
      </c>
      <c r="P41" s="991">
        <f>huishoudens!O12</f>
        <v>0</v>
      </c>
      <c r="Q41" s="749">
        <f>huishoudens!P12</f>
        <v>0</v>
      </c>
      <c r="R41" s="825">
        <f t="shared" ca="1" si="4"/>
        <v>37820.505941626732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5403.1165079582197</v>
      </c>
      <c r="D43" s="991">
        <f ca="1">industrie!C22</f>
        <v>0</v>
      </c>
      <c r="E43" s="991">
        <f>industrie!D22</f>
        <v>6053.1966437593392</v>
      </c>
      <c r="F43" s="991">
        <f>industrie!E22</f>
        <v>353.09440696064411</v>
      </c>
      <c r="G43" s="991">
        <f>industrie!F22</f>
        <v>2760.6206656227509</v>
      </c>
      <c r="H43" s="991">
        <f>industrie!G22</f>
        <v>0</v>
      </c>
      <c r="I43" s="991">
        <f>industrie!H22</f>
        <v>0</v>
      </c>
      <c r="J43" s="991">
        <f>industrie!I22</f>
        <v>0</v>
      </c>
      <c r="K43" s="991">
        <f>industrie!J22</f>
        <v>41.837146384880427</v>
      </c>
      <c r="L43" s="991">
        <f>industrie!K22</f>
        <v>0</v>
      </c>
      <c r="M43" s="991">
        <f>industrie!L22</f>
        <v>0</v>
      </c>
      <c r="N43" s="991">
        <f>industrie!M22</f>
        <v>0</v>
      </c>
      <c r="O43" s="991">
        <f>industrie!N22</f>
        <v>0</v>
      </c>
      <c r="P43" s="991">
        <f>industrie!O22</f>
        <v>0</v>
      </c>
      <c r="Q43" s="749">
        <f>industrie!P22</f>
        <v>0</v>
      </c>
      <c r="R43" s="824">
        <f t="shared" ca="1" si="4"/>
        <v>14611.865370685835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20768.846845534583</v>
      </c>
      <c r="D46" s="707">
        <f t="shared" ref="D46:Q46" ca="1" si="5">SUM(D39:D45)</f>
        <v>0</v>
      </c>
      <c r="E46" s="707">
        <f t="shared" ca="1" si="5"/>
        <v>24235.844486558755</v>
      </c>
      <c r="F46" s="707">
        <f t="shared" si="5"/>
        <v>8653.2908841041735</v>
      </c>
      <c r="G46" s="707">
        <f t="shared" ca="1" si="5"/>
        <v>10289.411287367451</v>
      </c>
      <c r="H46" s="707">
        <f t="shared" si="5"/>
        <v>0</v>
      </c>
      <c r="I46" s="707">
        <f t="shared" si="5"/>
        <v>0</v>
      </c>
      <c r="J46" s="707">
        <f t="shared" si="5"/>
        <v>0</v>
      </c>
      <c r="K46" s="707">
        <f t="shared" si="5"/>
        <v>344.89458303604567</v>
      </c>
      <c r="L46" s="707">
        <f t="shared" si="5"/>
        <v>0</v>
      </c>
      <c r="M46" s="707">
        <f t="shared" ca="1" si="5"/>
        <v>0</v>
      </c>
      <c r="N46" s="707">
        <f t="shared" si="5"/>
        <v>0</v>
      </c>
      <c r="O46" s="707">
        <f t="shared" ca="1" si="5"/>
        <v>0</v>
      </c>
      <c r="P46" s="707">
        <f t="shared" si="5"/>
        <v>0</v>
      </c>
      <c r="Q46" s="707">
        <f t="shared" si="5"/>
        <v>0</v>
      </c>
      <c r="R46" s="707">
        <f ca="1">SUM(R39:R45)</f>
        <v>64292.288086601009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421.27724392590073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421.27724392590073</v>
      </c>
    </row>
    <row r="50" spans="1:18">
      <c r="A50" s="800" t="s">
        <v>306</v>
      </c>
      <c r="B50" s="810"/>
      <c r="C50" s="678">
        <f ca="1">transport!B18</f>
        <v>8.6711925714194447</v>
      </c>
      <c r="D50" s="678">
        <f>transport!C18</f>
        <v>0</v>
      </c>
      <c r="E50" s="678">
        <f>transport!D18</f>
        <v>16.33853833576628</v>
      </c>
      <c r="F50" s="678">
        <f>transport!E18</f>
        <v>204.67646379028307</v>
      </c>
      <c r="G50" s="678">
        <f>transport!F18</f>
        <v>0</v>
      </c>
      <c r="H50" s="678">
        <f>transport!G18</f>
        <v>86917.027320069072</v>
      </c>
      <c r="I50" s="678">
        <f>transport!H18</f>
        <v>12631.069646944363</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99777.783161710904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8.6711925714194447</v>
      </c>
      <c r="D52" s="707">
        <f t="shared" ref="D52:Q52" ca="1" si="6">SUM(D48:D51)</f>
        <v>0</v>
      </c>
      <c r="E52" s="707">
        <f t="shared" si="6"/>
        <v>16.33853833576628</v>
      </c>
      <c r="F52" s="707">
        <f t="shared" si="6"/>
        <v>204.67646379028307</v>
      </c>
      <c r="G52" s="707">
        <f t="shared" si="6"/>
        <v>0</v>
      </c>
      <c r="H52" s="707">
        <f t="shared" si="6"/>
        <v>87338.304563994971</v>
      </c>
      <c r="I52" s="707">
        <f t="shared" si="6"/>
        <v>12631.069646944363</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100199.0604056368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784.15792441089218</v>
      </c>
      <c r="D54" s="678">
        <f ca="1">+landbouw!C12</f>
        <v>0</v>
      </c>
      <c r="E54" s="678">
        <f>+landbouw!D12</f>
        <v>60.775786518291177</v>
      </c>
      <c r="F54" s="678">
        <f>+landbouw!E12</f>
        <v>8.1347672177247805</v>
      </c>
      <c r="G54" s="678">
        <f>+landbouw!F12</f>
        <v>2620.9527703492604</v>
      </c>
      <c r="H54" s="678">
        <f>+landbouw!G12</f>
        <v>0</v>
      </c>
      <c r="I54" s="678">
        <f>+landbouw!H12</f>
        <v>0</v>
      </c>
      <c r="J54" s="678">
        <f>+landbouw!I12</f>
        <v>0</v>
      </c>
      <c r="K54" s="678">
        <f>+landbouw!J12</f>
        <v>209.97707848157347</v>
      </c>
      <c r="L54" s="678">
        <f>+landbouw!K12</f>
        <v>0</v>
      </c>
      <c r="M54" s="678">
        <f>+landbouw!L12</f>
        <v>0</v>
      </c>
      <c r="N54" s="678">
        <f>+landbouw!M12</f>
        <v>0</v>
      </c>
      <c r="O54" s="678">
        <f>+landbouw!N12</f>
        <v>0</v>
      </c>
      <c r="P54" s="678">
        <f>+landbouw!O12</f>
        <v>0</v>
      </c>
      <c r="Q54" s="679">
        <f>+landbouw!P12</f>
        <v>0</v>
      </c>
      <c r="R54" s="706">
        <f ca="1">SUM(C54:Q54)</f>
        <v>3683.9983269777422</v>
      </c>
    </row>
    <row r="55" spans="1:18" ht="15" thickBot="1">
      <c r="A55" s="800" t="s">
        <v>849</v>
      </c>
      <c r="B55" s="810"/>
      <c r="C55" s="678">
        <f ca="1">C25*'EF ele_warmte'!B12</f>
        <v>441.73495402142407</v>
      </c>
      <c r="D55" s="678"/>
      <c r="E55" s="678">
        <f>E25*EF_CO2_aardgas</f>
        <v>609.04708455711284</v>
      </c>
      <c r="F55" s="678"/>
      <c r="G55" s="678"/>
      <c r="H55" s="678"/>
      <c r="I55" s="678"/>
      <c r="J55" s="678"/>
      <c r="K55" s="678"/>
      <c r="L55" s="678"/>
      <c r="M55" s="678"/>
      <c r="N55" s="678"/>
      <c r="O55" s="678"/>
      <c r="P55" s="678"/>
      <c r="Q55" s="679"/>
      <c r="R55" s="706">
        <f ca="1">SUM(C55:Q55)</f>
        <v>1050.7820385785369</v>
      </c>
    </row>
    <row r="56" spans="1:18" ht="15.75" thickBot="1">
      <c r="A56" s="798" t="s">
        <v>850</v>
      </c>
      <c r="B56" s="811"/>
      <c r="C56" s="707">
        <f ca="1">SUM(C54:C55)</f>
        <v>1225.8928784323161</v>
      </c>
      <c r="D56" s="707">
        <f t="shared" ref="D56:Q56" ca="1" si="7">SUM(D54:D55)</f>
        <v>0</v>
      </c>
      <c r="E56" s="707">
        <f t="shared" si="7"/>
        <v>669.82287107540401</v>
      </c>
      <c r="F56" s="707">
        <f t="shared" si="7"/>
        <v>8.1347672177247805</v>
      </c>
      <c r="G56" s="707">
        <f t="shared" si="7"/>
        <v>2620.9527703492604</v>
      </c>
      <c r="H56" s="707">
        <f t="shared" si="7"/>
        <v>0</v>
      </c>
      <c r="I56" s="707">
        <f t="shared" si="7"/>
        <v>0</v>
      </c>
      <c r="J56" s="707">
        <f t="shared" si="7"/>
        <v>0</v>
      </c>
      <c r="K56" s="707">
        <f t="shared" si="7"/>
        <v>209.97707848157347</v>
      </c>
      <c r="L56" s="707">
        <f t="shared" si="7"/>
        <v>0</v>
      </c>
      <c r="M56" s="707">
        <f t="shared" si="7"/>
        <v>0</v>
      </c>
      <c r="N56" s="707">
        <f t="shared" si="7"/>
        <v>0</v>
      </c>
      <c r="O56" s="707">
        <f t="shared" si="7"/>
        <v>0</v>
      </c>
      <c r="P56" s="707">
        <f t="shared" si="7"/>
        <v>0</v>
      </c>
      <c r="Q56" s="708">
        <f t="shared" si="7"/>
        <v>0</v>
      </c>
      <c r="R56" s="709">
        <f ca="1">SUM(R54:R55)</f>
        <v>4734.7803655562793</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22003.41091653832</v>
      </c>
      <c r="D61" s="715">
        <f t="shared" ref="D61:Q61" ca="1" si="8">D46+D52+D56</f>
        <v>0</v>
      </c>
      <c r="E61" s="715">
        <f t="shared" ca="1" si="8"/>
        <v>24922.005895969927</v>
      </c>
      <c r="F61" s="715">
        <f t="shared" si="8"/>
        <v>8866.1021151121822</v>
      </c>
      <c r="G61" s="715">
        <f t="shared" ca="1" si="8"/>
        <v>12910.364057716712</v>
      </c>
      <c r="H61" s="715">
        <f t="shared" si="8"/>
        <v>87338.304563994971</v>
      </c>
      <c r="I61" s="715">
        <f t="shared" si="8"/>
        <v>12631.069646944363</v>
      </c>
      <c r="J61" s="715">
        <f t="shared" si="8"/>
        <v>0</v>
      </c>
      <c r="K61" s="715">
        <f t="shared" si="8"/>
        <v>554.87166151761915</v>
      </c>
      <c r="L61" s="715">
        <f t="shared" si="8"/>
        <v>0</v>
      </c>
      <c r="M61" s="715">
        <f t="shared" ca="1" si="8"/>
        <v>0</v>
      </c>
      <c r="N61" s="715">
        <f t="shared" si="8"/>
        <v>0</v>
      </c>
      <c r="O61" s="715">
        <f t="shared" ca="1" si="8"/>
        <v>0</v>
      </c>
      <c r="P61" s="715">
        <f t="shared" si="8"/>
        <v>0</v>
      </c>
      <c r="Q61" s="715">
        <f t="shared" si="8"/>
        <v>0</v>
      </c>
      <c r="R61" s="715">
        <f ca="1">R46+R52+R56</f>
        <v>169226.12885779407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0.20267896532313157</v>
      </c>
      <c r="D63" s="756">
        <f t="shared" ca="1" si="9"/>
        <v>0</v>
      </c>
      <c r="E63" s="1002">
        <f t="shared" ca="1" si="9"/>
        <v>0.20200000000000001</v>
      </c>
      <c r="F63" s="756">
        <f t="shared" si="9"/>
        <v>0.22700000000000006</v>
      </c>
      <c r="G63" s="756">
        <f t="shared" ca="1" si="9"/>
        <v>0.26699999999999996</v>
      </c>
      <c r="H63" s="756">
        <f t="shared" si="9"/>
        <v>0.26699999999999996</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8999.9283887134316</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8999.9283887134316</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8999.9283887134316</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8999.9283887134316</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45626.289618998577</v>
      </c>
      <c r="C4" s="452">
        <f>huishoudens!C8</f>
        <v>0</v>
      </c>
      <c r="D4" s="452">
        <f>huishoudens!D8</f>
        <v>67392.700137643318</v>
      </c>
      <c r="E4" s="452">
        <f>huishoudens!E8</f>
        <v>36269.47528894696</v>
      </c>
      <c r="F4" s="452">
        <f>huishoudens!F8</f>
        <v>24057.913914114197</v>
      </c>
      <c r="G4" s="452">
        <f>huishoudens!G8</f>
        <v>0</v>
      </c>
      <c r="H4" s="452">
        <f>huishoudens!H8</f>
        <v>0</v>
      </c>
      <c r="I4" s="452">
        <f>huishoudens!I8</f>
        <v>0</v>
      </c>
      <c r="J4" s="452">
        <f>huishoudens!J8</f>
        <v>856.094453816851</v>
      </c>
      <c r="K4" s="452">
        <f>huishoudens!K8</f>
        <v>0</v>
      </c>
      <c r="L4" s="452">
        <f>huishoudens!L8</f>
        <v>0</v>
      </c>
      <c r="M4" s="452">
        <f>huishoudens!M8</f>
        <v>0</v>
      </c>
      <c r="N4" s="452">
        <f>huishoudens!N8</f>
        <v>24813.490219774321</v>
      </c>
      <c r="O4" s="452">
        <f>huishoudens!O8</f>
        <v>415.84666666666669</v>
      </c>
      <c r="P4" s="453">
        <f>huishoudens!P8</f>
        <v>877.06666666666661</v>
      </c>
      <c r="Q4" s="454">
        <f>SUM(B4:P4)</f>
        <v>200308.87696662758</v>
      </c>
    </row>
    <row r="5" spans="1:17">
      <c r="A5" s="451" t="s">
        <v>155</v>
      </c>
      <c r="B5" s="452">
        <f ca="1">tertiair!B16</f>
        <v>28530.954100000003</v>
      </c>
      <c r="C5" s="452">
        <f ca="1">tertiair!C16</f>
        <v>0</v>
      </c>
      <c r="D5" s="452">
        <f ca="1">tertiair!D16</f>
        <v>22620.407995027053</v>
      </c>
      <c r="E5" s="452">
        <f>tertiair!E16</f>
        <v>295.26690111263514</v>
      </c>
      <c r="F5" s="452">
        <f ca="1">tertiair!F16</f>
        <v>4139.8037703228811</v>
      </c>
      <c r="G5" s="452">
        <f>tertiair!G16</f>
        <v>0</v>
      </c>
      <c r="H5" s="452">
        <f>tertiair!H16</f>
        <v>0</v>
      </c>
      <c r="I5" s="452">
        <f>tertiair!I16</f>
        <v>0</v>
      </c>
      <c r="J5" s="452">
        <f>tertiair!J16</f>
        <v>0</v>
      </c>
      <c r="K5" s="452">
        <f>tertiair!K16</f>
        <v>0</v>
      </c>
      <c r="L5" s="452">
        <f ca="1">tertiair!L16</f>
        <v>0</v>
      </c>
      <c r="M5" s="452">
        <f>tertiair!M16</f>
        <v>0</v>
      </c>
      <c r="N5" s="452">
        <f ca="1">tertiair!N16</f>
        <v>2030.6370943789277</v>
      </c>
      <c r="O5" s="452">
        <f>tertiair!O16</f>
        <v>4.6900000000000004</v>
      </c>
      <c r="P5" s="453">
        <f>tertiair!P16</f>
        <v>0</v>
      </c>
      <c r="Q5" s="451">
        <f t="shared" ref="Q5:Q14" ca="1" si="0">SUM(B5:P5)</f>
        <v>57621.759860841506</v>
      </c>
    </row>
    <row r="6" spans="1:17">
      <c r="A6" s="451" t="s">
        <v>193</v>
      </c>
      <c r="B6" s="452">
        <f>'openbare verlichting'!B8</f>
        <v>1655.904</v>
      </c>
      <c r="C6" s="452"/>
      <c r="D6" s="452"/>
      <c r="E6" s="452"/>
      <c r="F6" s="452"/>
      <c r="G6" s="452"/>
      <c r="H6" s="452"/>
      <c r="I6" s="452"/>
      <c r="J6" s="452"/>
      <c r="K6" s="452"/>
      <c r="L6" s="452"/>
      <c r="M6" s="452"/>
      <c r="N6" s="452"/>
      <c r="O6" s="452"/>
      <c r="P6" s="453"/>
      <c r="Q6" s="451">
        <f t="shared" si="0"/>
        <v>1655.904</v>
      </c>
    </row>
    <row r="7" spans="1:17">
      <c r="A7" s="451" t="s">
        <v>111</v>
      </c>
      <c r="B7" s="452">
        <f>landbouw!B8</f>
        <v>3868.9654999999998</v>
      </c>
      <c r="C7" s="452">
        <f>landbouw!C8</f>
        <v>0</v>
      </c>
      <c r="D7" s="452">
        <f>landbouw!D8</f>
        <v>300.87023028857016</v>
      </c>
      <c r="E7" s="452">
        <f>landbouw!E8</f>
        <v>35.835978932708279</v>
      </c>
      <c r="F7" s="452">
        <f>landbouw!F8</f>
        <v>9816.3025106713867</v>
      </c>
      <c r="G7" s="452">
        <f>landbouw!G8</f>
        <v>0</v>
      </c>
      <c r="H7" s="452">
        <f>landbouw!H8</f>
        <v>0</v>
      </c>
      <c r="I7" s="452">
        <f>landbouw!I8</f>
        <v>0</v>
      </c>
      <c r="J7" s="452">
        <f>landbouw!J8</f>
        <v>593.15558893099853</v>
      </c>
      <c r="K7" s="452">
        <f>landbouw!K8</f>
        <v>0</v>
      </c>
      <c r="L7" s="452">
        <f>landbouw!L8</f>
        <v>0</v>
      </c>
      <c r="M7" s="452">
        <f>landbouw!M8</f>
        <v>0</v>
      </c>
      <c r="N7" s="452">
        <f>landbouw!N8</f>
        <v>0</v>
      </c>
      <c r="O7" s="452">
        <f>landbouw!O8</f>
        <v>0</v>
      </c>
      <c r="P7" s="453">
        <f>landbouw!P8</f>
        <v>0</v>
      </c>
      <c r="Q7" s="451">
        <f t="shared" si="0"/>
        <v>14615.129808823664</v>
      </c>
    </row>
    <row r="8" spans="1:17">
      <c r="A8" s="451" t="s">
        <v>649</v>
      </c>
      <c r="B8" s="452">
        <f>industrie!B18</f>
        <v>26658.496599999999</v>
      </c>
      <c r="C8" s="452">
        <f>industrie!C18</f>
        <v>0</v>
      </c>
      <c r="D8" s="452">
        <f>industrie!D18</f>
        <v>29966.32001861059</v>
      </c>
      <c r="E8" s="452">
        <f>industrie!E18</f>
        <v>1555.4819689896215</v>
      </c>
      <c r="F8" s="452">
        <f>industrie!F18</f>
        <v>10339.403242032775</v>
      </c>
      <c r="G8" s="452">
        <f>industrie!G18</f>
        <v>0</v>
      </c>
      <c r="H8" s="452">
        <f>industrie!H18</f>
        <v>0</v>
      </c>
      <c r="I8" s="452">
        <f>industrie!I18</f>
        <v>0</v>
      </c>
      <c r="J8" s="452">
        <f>industrie!J18</f>
        <v>118.18402933582043</v>
      </c>
      <c r="K8" s="452">
        <f>industrie!K18</f>
        <v>0</v>
      </c>
      <c r="L8" s="452">
        <f>industrie!L18</f>
        <v>0</v>
      </c>
      <c r="M8" s="452">
        <f>industrie!M18</f>
        <v>0</v>
      </c>
      <c r="N8" s="452">
        <f>industrie!N18</f>
        <v>2584.8942066160243</v>
      </c>
      <c r="O8" s="452">
        <f>industrie!O18</f>
        <v>0</v>
      </c>
      <c r="P8" s="453">
        <f>industrie!P18</f>
        <v>0</v>
      </c>
      <c r="Q8" s="451">
        <f t="shared" si="0"/>
        <v>71222.78006558484</v>
      </c>
    </row>
    <row r="9" spans="1:17" s="457" customFormat="1">
      <c r="A9" s="455" t="s">
        <v>570</v>
      </c>
      <c r="B9" s="456">
        <f>transport!B14</f>
        <v>42.782893417651621</v>
      </c>
      <c r="C9" s="456">
        <f>transport!C14</f>
        <v>0</v>
      </c>
      <c r="D9" s="456">
        <f>transport!D14</f>
        <v>80.883853147357812</v>
      </c>
      <c r="E9" s="456">
        <f>transport!E14</f>
        <v>901.65843079419847</v>
      </c>
      <c r="F9" s="456">
        <f>transport!F14</f>
        <v>0</v>
      </c>
      <c r="G9" s="456">
        <f>transport!G14</f>
        <v>325531.93752834859</v>
      </c>
      <c r="H9" s="456">
        <f>transport!H14</f>
        <v>50727.187337125957</v>
      </c>
      <c r="I9" s="456">
        <f>transport!I14</f>
        <v>0</v>
      </c>
      <c r="J9" s="456">
        <f>transport!J14</f>
        <v>0</v>
      </c>
      <c r="K9" s="456">
        <f>transport!K14</f>
        <v>0</v>
      </c>
      <c r="L9" s="456">
        <f>transport!L14</f>
        <v>0</v>
      </c>
      <c r="M9" s="456">
        <f>transport!M14</f>
        <v>20420.738803486547</v>
      </c>
      <c r="N9" s="456">
        <f>transport!N14</f>
        <v>0</v>
      </c>
      <c r="O9" s="456">
        <f>transport!O14</f>
        <v>0</v>
      </c>
      <c r="P9" s="456">
        <f>transport!P14</f>
        <v>0</v>
      </c>
      <c r="Q9" s="455">
        <f>SUM(B9:P9)</f>
        <v>397705.18884632032</v>
      </c>
    </row>
    <row r="10" spans="1:17">
      <c r="A10" s="451" t="s">
        <v>560</v>
      </c>
      <c r="B10" s="452">
        <f>transport!B54</f>
        <v>0</v>
      </c>
      <c r="C10" s="452">
        <f>transport!C54</f>
        <v>0</v>
      </c>
      <c r="D10" s="452">
        <f>transport!D54</f>
        <v>0</v>
      </c>
      <c r="E10" s="452">
        <f>transport!E54</f>
        <v>0</v>
      </c>
      <c r="F10" s="452">
        <f>transport!F54</f>
        <v>0</v>
      </c>
      <c r="G10" s="452">
        <f>transport!G54</f>
        <v>1577.8173929809016</v>
      </c>
      <c r="H10" s="452">
        <f>transport!H54</f>
        <v>0</v>
      </c>
      <c r="I10" s="452">
        <f>transport!I54</f>
        <v>0</v>
      </c>
      <c r="J10" s="452">
        <f>transport!J54</f>
        <v>0</v>
      </c>
      <c r="K10" s="452">
        <f>transport!K54</f>
        <v>0</v>
      </c>
      <c r="L10" s="452">
        <f>transport!L54</f>
        <v>0</v>
      </c>
      <c r="M10" s="452">
        <f>transport!M54</f>
        <v>90.18323976754138</v>
      </c>
      <c r="N10" s="452">
        <f>transport!N54</f>
        <v>0</v>
      </c>
      <c r="O10" s="452">
        <f>transport!O54</f>
        <v>0</v>
      </c>
      <c r="P10" s="453">
        <f>transport!P54</f>
        <v>0</v>
      </c>
      <c r="Q10" s="451">
        <f t="shared" si="0"/>
        <v>1668.000632748443</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2179.4810000000002</v>
      </c>
      <c r="C14" s="459"/>
      <c r="D14" s="459">
        <f>'SEAP template'!E25</f>
        <v>3015.0845770154101</v>
      </c>
      <c r="E14" s="459"/>
      <c r="F14" s="459"/>
      <c r="G14" s="459"/>
      <c r="H14" s="459"/>
      <c r="I14" s="459"/>
      <c r="J14" s="459"/>
      <c r="K14" s="459"/>
      <c r="L14" s="459"/>
      <c r="M14" s="459"/>
      <c r="N14" s="459"/>
      <c r="O14" s="459"/>
      <c r="P14" s="460"/>
      <c r="Q14" s="451">
        <f t="shared" si="0"/>
        <v>5194.5655770154099</v>
      </c>
    </row>
    <row r="15" spans="1:17" s="461" customFormat="1">
      <c r="A15" s="1017" t="s">
        <v>564</v>
      </c>
      <c r="B15" s="957">
        <f ca="1">SUM(B4:B14)</f>
        <v>108562.87371241623</v>
      </c>
      <c r="C15" s="957">
        <f t="shared" ref="C15:Q15" ca="1" si="1">SUM(C4:C14)</f>
        <v>0</v>
      </c>
      <c r="D15" s="957">
        <f t="shared" ca="1" si="1"/>
        <v>123376.2668117323</v>
      </c>
      <c r="E15" s="957">
        <f t="shared" si="1"/>
        <v>39057.718568776123</v>
      </c>
      <c r="F15" s="957">
        <f t="shared" ca="1" si="1"/>
        <v>48353.423437141231</v>
      </c>
      <c r="G15" s="957">
        <f t="shared" si="1"/>
        <v>327109.7549213295</v>
      </c>
      <c r="H15" s="957">
        <f t="shared" si="1"/>
        <v>50727.187337125957</v>
      </c>
      <c r="I15" s="957">
        <f t="shared" si="1"/>
        <v>0</v>
      </c>
      <c r="J15" s="957">
        <f t="shared" si="1"/>
        <v>1567.4340720836699</v>
      </c>
      <c r="K15" s="957">
        <f t="shared" si="1"/>
        <v>0</v>
      </c>
      <c r="L15" s="957">
        <f t="shared" ca="1" si="1"/>
        <v>0</v>
      </c>
      <c r="M15" s="957">
        <f t="shared" si="1"/>
        <v>20510.92204325409</v>
      </c>
      <c r="N15" s="957">
        <f t="shared" ca="1" si="1"/>
        <v>29429.021520769271</v>
      </c>
      <c r="O15" s="957">
        <f t="shared" si="1"/>
        <v>420.53666666666669</v>
      </c>
      <c r="P15" s="957">
        <f t="shared" si="1"/>
        <v>877.06666666666661</v>
      </c>
      <c r="Q15" s="957">
        <f t="shared" ca="1" si="1"/>
        <v>749992.20575796172</v>
      </c>
    </row>
    <row r="17" spans="1:17">
      <c r="A17" s="462" t="s">
        <v>565</v>
      </c>
      <c r="B17" s="761">
        <f ca="1">huishoudens!B10</f>
        <v>0.20267896532313154</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9247.4891715121685</v>
      </c>
      <c r="C22" s="452">
        <f t="shared" ref="C22:C32" ca="1" si="3">C4*$C$17</f>
        <v>0</v>
      </c>
      <c r="D22" s="452">
        <f t="shared" ref="D22:D32" si="4">D4*$D$17</f>
        <v>13613.325427803951</v>
      </c>
      <c r="E22" s="452">
        <f t="shared" ref="E22:E32" si="5">E4*$E$17</f>
        <v>8233.17089059096</v>
      </c>
      <c r="F22" s="452">
        <f t="shared" ref="F22:F32" si="6">F4*$F$17</f>
        <v>6423.4630150684907</v>
      </c>
      <c r="G22" s="452">
        <f t="shared" ref="G22:G32" si="7">G4*$G$17</f>
        <v>0</v>
      </c>
      <c r="H22" s="452">
        <f t="shared" ref="H22:H32" si="8">H4*$H$17</f>
        <v>0</v>
      </c>
      <c r="I22" s="452">
        <f t="shared" ref="I22:I32" si="9">I4*$I$17</f>
        <v>0</v>
      </c>
      <c r="J22" s="452">
        <f t="shared" ref="J22:J32" si="10">J4*$J$17</f>
        <v>303.05743665116523</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37820.505941626732</v>
      </c>
    </row>
    <row r="23" spans="1:17">
      <c r="A23" s="451" t="s">
        <v>155</v>
      </c>
      <c r="B23" s="452">
        <f t="shared" ca="1" si="2"/>
        <v>5782.6242566697583</v>
      </c>
      <c r="C23" s="452">
        <f t="shared" ca="1" si="3"/>
        <v>0</v>
      </c>
      <c r="D23" s="452">
        <f t="shared" ca="1" si="4"/>
        <v>4569.3224149954649</v>
      </c>
      <c r="E23" s="452">
        <f t="shared" si="5"/>
        <v>67.025586552568186</v>
      </c>
      <c r="F23" s="452">
        <f t="shared" ca="1" si="6"/>
        <v>1105.3276066762094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11524.299864894003</v>
      </c>
    </row>
    <row r="24" spans="1:17">
      <c r="A24" s="451" t="s">
        <v>193</v>
      </c>
      <c r="B24" s="452">
        <f t="shared" ca="1" si="2"/>
        <v>335.6169093944348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335.6169093944348</v>
      </c>
    </row>
    <row r="25" spans="1:17">
      <c r="A25" s="451" t="s">
        <v>111</v>
      </c>
      <c r="B25" s="452">
        <f t="shared" ca="1" si="2"/>
        <v>784.15792441089218</v>
      </c>
      <c r="C25" s="452">
        <f t="shared" ca="1" si="3"/>
        <v>0</v>
      </c>
      <c r="D25" s="452">
        <f t="shared" si="4"/>
        <v>60.775786518291177</v>
      </c>
      <c r="E25" s="452">
        <f t="shared" si="5"/>
        <v>8.1347672177247805</v>
      </c>
      <c r="F25" s="452">
        <f t="shared" si="6"/>
        <v>2620.9527703492604</v>
      </c>
      <c r="G25" s="452">
        <f t="shared" si="7"/>
        <v>0</v>
      </c>
      <c r="H25" s="452">
        <f t="shared" si="8"/>
        <v>0</v>
      </c>
      <c r="I25" s="452">
        <f t="shared" si="9"/>
        <v>0</v>
      </c>
      <c r="J25" s="452">
        <f t="shared" si="10"/>
        <v>209.97707848157347</v>
      </c>
      <c r="K25" s="452">
        <f t="shared" si="11"/>
        <v>0</v>
      </c>
      <c r="L25" s="452">
        <f t="shared" si="12"/>
        <v>0</v>
      </c>
      <c r="M25" s="452">
        <f t="shared" si="13"/>
        <v>0</v>
      </c>
      <c r="N25" s="452">
        <f t="shared" si="14"/>
        <v>0</v>
      </c>
      <c r="O25" s="452">
        <f t="shared" si="15"/>
        <v>0</v>
      </c>
      <c r="P25" s="453">
        <f t="shared" si="16"/>
        <v>0</v>
      </c>
      <c r="Q25" s="451">
        <f t="shared" ca="1" si="17"/>
        <v>3683.9983269777422</v>
      </c>
    </row>
    <row r="26" spans="1:17">
      <c r="A26" s="451" t="s">
        <v>649</v>
      </c>
      <c r="B26" s="452">
        <f t="shared" ca="1" si="2"/>
        <v>5403.1165079582197</v>
      </c>
      <c r="C26" s="452">
        <f t="shared" ca="1" si="3"/>
        <v>0</v>
      </c>
      <c r="D26" s="452">
        <f t="shared" si="4"/>
        <v>6053.1966437593392</v>
      </c>
      <c r="E26" s="452">
        <f t="shared" si="5"/>
        <v>353.09440696064411</v>
      </c>
      <c r="F26" s="452">
        <f t="shared" si="6"/>
        <v>2760.6206656227509</v>
      </c>
      <c r="G26" s="452">
        <f t="shared" si="7"/>
        <v>0</v>
      </c>
      <c r="H26" s="452">
        <f t="shared" si="8"/>
        <v>0</v>
      </c>
      <c r="I26" s="452">
        <f t="shared" si="9"/>
        <v>0</v>
      </c>
      <c r="J26" s="452">
        <f t="shared" si="10"/>
        <v>41.837146384880427</v>
      </c>
      <c r="K26" s="452">
        <f t="shared" si="11"/>
        <v>0</v>
      </c>
      <c r="L26" s="452">
        <f t="shared" si="12"/>
        <v>0</v>
      </c>
      <c r="M26" s="452">
        <f t="shared" si="13"/>
        <v>0</v>
      </c>
      <c r="N26" s="452">
        <f t="shared" si="14"/>
        <v>0</v>
      </c>
      <c r="O26" s="452">
        <f t="shared" si="15"/>
        <v>0</v>
      </c>
      <c r="P26" s="453">
        <f t="shared" si="16"/>
        <v>0</v>
      </c>
      <c r="Q26" s="451">
        <f t="shared" ca="1" si="17"/>
        <v>14611.865370685835</v>
      </c>
    </row>
    <row r="27" spans="1:17" s="457" customFormat="1">
      <c r="A27" s="455" t="s">
        <v>570</v>
      </c>
      <c r="B27" s="755">
        <f t="shared" ca="1" si="2"/>
        <v>8.6711925714194447</v>
      </c>
      <c r="C27" s="456">
        <f t="shared" ca="1" si="3"/>
        <v>0</v>
      </c>
      <c r="D27" s="456">
        <f t="shared" si="4"/>
        <v>16.33853833576628</v>
      </c>
      <c r="E27" s="456">
        <f t="shared" si="5"/>
        <v>204.67646379028307</v>
      </c>
      <c r="F27" s="456">
        <f t="shared" si="6"/>
        <v>0</v>
      </c>
      <c r="G27" s="456">
        <f t="shared" si="7"/>
        <v>86917.027320069072</v>
      </c>
      <c r="H27" s="456">
        <f t="shared" si="8"/>
        <v>12631.069646944363</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99777.783161710904</v>
      </c>
    </row>
    <row r="28" spans="1:17">
      <c r="A28" s="451" t="s">
        <v>560</v>
      </c>
      <c r="B28" s="452">
        <f t="shared" ca="1" si="2"/>
        <v>0</v>
      </c>
      <c r="C28" s="452">
        <f t="shared" ca="1" si="3"/>
        <v>0</v>
      </c>
      <c r="D28" s="452">
        <f t="shared" si="4"/>
        <v>0</v>
      </c>
      <c r="E28" s="452">
        <f t="shared" si="5"/>
        <v>0</v>
      </c>
      <c r="F28" s="452">
        <f t="shared" si="6"/>
        <v>0</v>
      </c>
      <c r="G28" s="452">
        <f t="shared" si="7"/>
        <v>421.27724392590073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421.27724392590073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441.73495402142407</v>
      </c>
      <c r="C32" s="452">
        <f t="shared" ca="1" si="3"/>
        <v>0</v>
      </c>
      <c r="D32" s="452">
        <f t="shared" si="4"/>
        <v>609.04708455711284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1050.7820385785369</v>
      </c>
    </row>
    <row r="33" spans="1:17" s="461" customFormat="1">
      <c r="A33" s="1017" t="s">
        <v>564</v>
      </c>
      <c r="B33" s="957">
        <f ca="1">SUM(B22:B32)</f>
        <v>22003.410916538316</v>
      </c>
      <c r="C33" s="957">
        <f t="shared" ref="C33:Q33" ca="1" si="18">SUM(C22:C32)</f>
        <v>0</v>
      </c>
      <c r="D33" s="957">
        <f t="shared" ca="1" si="18"/>
        <v>24922.005895969927</v>
      </c>
      <c r="E33" s="957">
        <f t="shared" si="18"/>
        <v>8866.1021151121822</v>
      </c>
      <c r="F33" s="957">
        <f t="shared" ca="1" si="18"/>
        <v>12910.364057716712</v>
      </c>
      <c r="G33" s="957">
        <f t="shared" si="18"/>
        <v>87338.304563994971</v>
      </c>
      <c r="H33" s="957">
        <f t="shared" si="18"/>
        <v>12631.069646944363</v>
      </c>
      <c r="I33" s="957">
        <f t="shared" si="18"/>
        <v>0</v>
      </c>
      <c r="J33" s="957">
        <f t="shared" si="18"/>
        <v>554.87166151761915</v>
      </c>
      <c r="K33" s="957">
        <f t="shared" si="18"/>
        <v>0</v>
      </c>
      <c r="L33" s="957">
        <f t="shared" ca="1" si="18"/>
        <v>0</v>
      </c>
      <c r="M33" s="957">
        <f t="shared" si="18"/>
        <v>0</v>
      </c>
      <c r="N33" s="957">
        <f t="shared" ca="1" si="18"/>
        <v>0</v>
      </c>
      <c r="O33" s="957">
        <f t="shared" si="18"/>
        <v>0</v>
      </c>
      <c r="P33" s="957">
        <f t="shared" si="18"/>
        <v>0</v>
      </c>
      <c r="Q33" s="957">
        <f t="shared" ca="1" si="18"/>
        <v>169226.1288577941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8999.9283887134316</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8999.9283887134316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0.20267896532313154</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0.20267896532313154</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2020-06-20T16:06:40Z</dcterms:modified>
</cp:coreProperties>
</file>