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J12" i="17" s="1"/>
  <c r="K54" i="14" s="1"/>
  <c r="K56" i="14" s="1"/>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22" i="16" l="1"/>
  <c r="Q43" i="14" s="1"/>
  <c r="P8" i="48"/>
  <c r="P26" i="48" s="1"/>
  <c r="Q13" i="14"/>
  <c r="Q16" i="14" s="1"/>
  <c r="Q27" i="14" s="1"/>
  <c r="J7" i="48"/>
  <c r="J25" i="48" s="1"/>
  <c r="K24" i="14"/>
  <c r="K26"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E7" i="48"/>
  <c r="E25" i="48" s="1"/>
  <c r="F24" i="14"/>
  <c r="F26"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K10" i="14"/>
  <c r="J5" i="48"/>
  <c r="J23" i="48" s="1"/>
  <c r="F10" i="14"/>
  <c r="E5" i="48"/>
  <c r="E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<sst xmlns="http://schemas.openxmlformats.org/spreadsheetml/2006/main" count="2443" uniqueCount="919">
  <si>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</si>
  <si>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</si>
  <si>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</si>
  <si>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</si>
  <si>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</si>
  <si>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</si>
  <si>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</si>
  <si>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</si>
  <si>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</si>
  <si>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</si>
  <si>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</si>
  <si>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</si>
  <si>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</si>
  <si>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</si>
  <si>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</si>
  <si>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</si>
  <si>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</si>
  <si>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</si>
  <si>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</si>
  <si>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</si>
  <si>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</si>
  <si>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</si>
  <si>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</si>
  <si>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</si>
  <si>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</si>
  <si>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</si>
  <si>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</si>
  <si>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</si>
  <si>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</si>
  <si>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</si>
  <si>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</si>
  <si>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</si>
  <si>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</si>
  <si>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</si>
  <si>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</si>
  <si>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</si>
  <si>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</si>
  <si>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</si>
  <si>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</si>
  <si>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</si>
  <si>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</si>
  <si>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</si>
  <si>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</si>
  <si>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</si>
  <si>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</si>
  <si>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</si>
  <si>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</si>
  <si>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</si>
  <si>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</si>
  <si>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</si>
  <si>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</si>
  <si>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</si>
  <si>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</si>
  <si>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</si>
  <si>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</si>
  <si>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</si>
  <si>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</si>
  <si>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</si>
  <si>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</si>
  <si>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</si>
  <si>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</si>
  <si>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</si>
  <si>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</si>
  <si>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</si>
  <si>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</si>
  <si>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</si>
  <si>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</si>
  <si>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</si>
  <si>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</si>
  <si>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</si>
  <si>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</si>
  <si>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</si>
  <si>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</si>
  <si>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</si>
  <si>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</si>
  <si>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</si>
  <si>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</si>
  <si>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</si>
  <si>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</si>
  <si>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</si>
  <si>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</si>
  <si>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</si>
  <si>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</si>
  <si>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</si>
  <si>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</si>
  <si>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</si>
  <si>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</si>
  <si>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</si>
  <si>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</si>
  <si>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</si>
  <si>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</si>
  <si>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</si>
  <si>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</si>
  <si>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</si>
  <si>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</si>
  <si>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</si>
  <si>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</si>
  <si>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</si>
  <si>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</si>
  <si>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</si>
  <si>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</si>
  <si>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</si>
  <si>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</si>
  <si>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</si>
  <si>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</si>
  <si>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</si>
  <si>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</si>
  <si>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</si>
  <si>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</si>
  <si>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</si>
  <si>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</si>
  <si>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</si>
  <si>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</si>
  <si>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</si>
  <si>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</si>
  <si>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</si>
  <si>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</si>
  <si>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</si>
  <si>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</si>
  <si>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</si>
  <si>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</si>
  <si>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</si>
  <si>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</si>
  <si>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</si>
  <si>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</si>
  <si>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</si>
  <si>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</si>
  <si>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</si>
  <si>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</si>
  <si>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</si>
  <si>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</si>
  <si>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</si>
  <si>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</si>
  <si>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</si>
  <si>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</si>
  <si>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</si>
  <si>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</si>
  <si>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</si>
  <si>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</si>
  <si>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</si>
  <si>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</si>
  <si>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</si>
  <si>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</si>
  <si>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</si>
  <si>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</si>
  <si>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</si>
  <si>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</si>
  <si>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</si>
  <si>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</si>
  <si>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</si>
  <si>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</si>
  <si>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</si>
  <si>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</si>
  <si>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</si>
  <si>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</si>
  <si>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</si>
  <si>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</si>
  <si>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</si>
  <si>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</si>
  <si>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</si>
  <si>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</si>
  <si>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</si>
  <si>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</si>
  <si>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</si>
  <si>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</si>
  <si>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</si>
  <si>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</si>
  <si>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</si>
  <si>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</si>
  <si>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</si>
  <si>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</si>
  <si>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</si>
  <si>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</si>
  <si>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</si>
  <si>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</si>
  <si>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</si>
  <si>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</si>
  <si>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</si>
  <si>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</si>
  <si>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</si>
  <si>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</si>
  <si>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</si>
  <si>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</si>
  <si>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</si>
  <si>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</si>
  <si>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</si>
  <si>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</si>
  <si>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</si>
  <si>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</si>
  <si>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</si>
  <si>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</si>
  <si>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</si>
  <si>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</si>
  <si>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</si>
  <si>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</si>
  <si>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</si>
  <si>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</si>
  <si>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</si>
  <si>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</si>
  <si>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</si>
  <si>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</si>
  <si>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</si>
  <si>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</si>
  <si>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</si>
  <si>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</si>
  <si>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</si>
  <si>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</si>
  <si>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</si>
  <si>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</si>
  <si>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</si>
  <si>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</si>
  <si>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</si>
  <si>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</si>
  <si>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</si>
  <si>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</si>
  <si>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</si>
  <si>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</si>
  <si>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</si>
  <si>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</si>
  <si>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</si>
  <si>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</si>
  <si>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</si>
  <si>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</si>
  <si>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</si>
  <si>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</si>
  <si>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</si>
  <si>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</si>
  <si>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</si>
  <si>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</si>
  <si>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</si>
  <si>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</si>
  <si>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</si>
  <si>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</si>
  <si>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</si>
  <si>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</si>
  <si>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</si>
  <si>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</si>
  <si>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</si>
  <si>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</si>
  <si>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</si>
  <si>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</si>
  <si>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</si>
  <si>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</si>
  <si>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</si>
  <si>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</si>
  <si>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</si>
  <si>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</si>
  <si>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</si>
  <si>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</si>
  <si>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</si>
  <si>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</si>
  <si>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</si>
  <si>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</si>
  <si>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</si>
  <si>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</si>
  <si>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</si>
  <si>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</si>
  <si>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</si>
  <si>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</si>
  <si>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</si>
  <si>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</si>
  <si>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</si>
  <si>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</si>
  <si>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</si>
  <si>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</si>
  <si>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</si>
  <si>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</si>
  <si>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</si>
  <si>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</si>
  <si>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</si>
  <si>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</si>
  <si>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</si>
  <si>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</si>
  <si>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</si>
  <si>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</si>
  <si>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</si>
  <si>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</si>
  <si>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</si>
  <si>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</si>
  <si>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</si>
  <si>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</si>
  <si>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</si>
  <si>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</si>
  <si>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</si>
  <si>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</si>
  <si>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</si>
  <si>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</si>
  <si>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</si>
  <si>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</si>
  <si>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</si>
  <si>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</si>
  <si>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</si>
  <si>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</si>
  <si>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</si>
  <si>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</si>
  <si>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</si>
  <si>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</si>
  <si>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</si>
  <si>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</si>
  <si>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</si>
  <si>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</si>
  <si>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</si>
  <si>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</si>
  <si>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</si>
  <si>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</si>
  <si>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</si>
  <si>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</si>
  <si>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</si>
  <si>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</si>
  <si>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</si>
  <si>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</si>
  <si>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</si>
  <si>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</si>
  <si>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</si>
  <si>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</si>
  <si>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</si>
  <si>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</si>
  <si>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</si>
  <si>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</si>
  <si>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</si>
  <si>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</si>
  <si>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</si>
  <si>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</si>
  <si>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</si>
  <si>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</si>
  <si>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</si>
  <si>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</si>
  <si>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</si>
  <si>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</si>
  <si>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</si>
  <si>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</si>
  <si>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</si>
  <si>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</si>
  <si>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</si>
  <si>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</si>
  <si>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</si>
  <si>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</si>
  <si>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</si>
  <si>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</si>
  <si>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</si>
  <si>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</si>
  <si>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</si>
  <si>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</si>
  <si>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</si>
  <si>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</si>
  <si>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</si>
  <si>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</si>
  <si>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</si>
  <si>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</si>
  <si>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</si>
  <si>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</si>
  <si>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</si>
  <si>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</si>
  <si>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</si>
  <si>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</si>
  <si>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</si>
  <si>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</si>
  <si>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</si>
  <si>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</si>
  <si>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</si>
  <si>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</si>
  <si>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</si>
  <si>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</si>
  <si>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</si>
  <si>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</si>
  <si>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</si>
  <si>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</si>
  <si>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</si>
  <si>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</si>
  <si>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</si>
  <si>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</si>
  <si>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</si>
  <si>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</si>
  <si>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</si>
  <si>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</si>
  <si>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</si>
  <si>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</si>
  <si>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</si>
  <si>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</si>
  <si>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</si>
  <si>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</si>
  <si>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</si>
  <si>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</si>
  <si>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</si>
  <si>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</si>
  <si>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</si>
  <si>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</si>
  <si>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</si>
  <si>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</si>
  <si>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</si>
  <si>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</si>
  <si>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</si>
  <si>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</si>
  <si>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</si>
  <si>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</si>
  <si>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</si>
  <si>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</si>
  <si>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</si>
  <si>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</si>
  <si>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</si>
  <si>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</si>
  <si>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</si>
  <si>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</si>
  <si>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</si>
  <si>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</si>
  <si>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</si>
  <si>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</si>
  <si>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</si>
  <si>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</si>
  <si>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</si>
  <si>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</si>
  <si>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</si>
  <si>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</si>
  <si>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</si>
  <si>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</si>
  <si>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</si>
  <si>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</si>
  <si>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</si>
  <si>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</si>
  <si>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</si>
  <si>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</si>
  <si>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</si>
  <si>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</si>
  <si>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</si>
  <si>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</si>
  <si>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</si>
  <si>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</si>
  <si>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</si>
  <si>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</si>
  <si>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</si>
  <si>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</si>
  <si>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</si>
  <si>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</si>
  <si>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</si>
  <si>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</si>
  <si>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</si>
  <si>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</si>
  <si>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</si>
  <si>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</si>
  <si>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</si>
  <si>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</si>
  <si>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</si>
  <si>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</si>
  <si>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</si>
  <si>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</si>
  <si>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</si>
  <si>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</si>
  <si>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</si>
  <si>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</si>
  <si>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</si>
  <si>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</si>
  <si>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</si>
  <si>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</si>
  <si>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</si>
  <si>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</si>
  <si>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</si>
  <si>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</si>
  <si>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</si>
  <si>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</si>
  <si>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</si>
  <si>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</si>
  <si>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</si>
  <si>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</si>
  <si>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</si>
  <si>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</si>
  <si>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</si>
  <si>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</si>
  <si>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</si>
  <si>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</si>
  <si>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</si>
  <si>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</si>
  <si>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</si>
  <si>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</si>
  <si>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</si>
  <si>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</si>
  <si>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</si>
  <si>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</si>
  <si>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</si>
  <si>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</si>
  <si>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</si>
  <si>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</si>
  <si>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</si>
  <si>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</si>
  <si>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</si>
  <si>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</si>
  <si>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</si>
  <si>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</si>
  <si>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</si>
  <si>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</si>
  <si>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</si>
  <si>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</si>
  <si>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</si>
  <si>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</si>
  <si>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</si>
  <si>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</si>
  <si>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</si>
  <si>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</si>
  <si>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</si>
  <si>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</si>
  <si>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</si>
  <si>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</si>
  <si>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</si>
  <si>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</si>
  <si>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</si>
  <si>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</si>
  <si>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</si>
  <si>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</si>
  <si>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</si>
  <si>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</si>
  <si>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</si>
  <si>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</si>
  <si>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</si>
  <si>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</si>
  <si>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</si>
  <si>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</si>
  <si>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</si>
  <si>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</si>
  <si>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</si>
  <si>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</si>
  <si>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</si>
  <si>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</si>
  <si>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</si>
  <si>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</si>
  <si>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</si>
  <si>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</si>
  <si>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</si>
  <si>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</si>
  <si>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</si>
  <si>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</si>
  <si>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</si>
  <si>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</si>
  <si>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</si>
  <si>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</si>
  <si>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</si>
  <si>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</si>
  <si>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</si>
  <si>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</si>
  <si>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</si>
  <si>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</si>
  <si>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</si>
  <si>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</si>
  <si>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</si>
  <si>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</si>
  <si>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</si>
  <si>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</si>
  <si>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</si>
  <si>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</si>
  <si>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</si>
  <si>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</si>
  <si>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</si>
  <si>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</si>
  <si>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</si>
  <si>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</si>
  <si>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</si>
  <si>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</si>
  <si>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</si>
  <si>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</si>
  <si>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</si>
  <si>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</si>
  <si>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</si>
  <si>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</si>
  <si>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</si>
  <si>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</si>
  <si>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</si>
  <si>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</si>
  <si>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</si>
  <si>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</si>
  <si>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</si>
  <si>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</si>
  <si>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</si>
  <si>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</si>
  <si>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</si>
  <si>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</si>
  <si>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</si>
  <si>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</si>
  <si>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</si>
  <si>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</si>
  <si>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</si>
  <si>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</si>
  <si>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</si>
  <si>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</si>
  <si>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</si>
  <si>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</si>
  <si>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</si>
  <si>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</si>
  <si>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</si>
  <si>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</si>
  <si>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</si>
  <si>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</si>
  <si>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</si>
  <si>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</si>
  <si>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</si>
  <si>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</si>
  <si>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</si>
  <si>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</si>
  <si>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</si>
  <si>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</si>
  <si>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</si>
  <si>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</si>
  <si>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</si>
  <si>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</si>
  <si>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</si>
  <si>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</si>
  <si>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</si>
  <si>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</si>
  <si>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</si>
  <si>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</si>
  <si>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</si>
  <si>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</si>
  <si>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</si>
  <si>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</si>
  <si>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</si>
  <si>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</si>
  <si>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</si>
  <si>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</si>
  <si>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</si>
  <si>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</si>
  <si>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</si>
  <si>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</si>
  <si>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</si>
  <si>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</si>
  <si>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</si>
  <si>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</si>
  <si>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</si>
  <si>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</si>
  <si>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</si>
  <si>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</si>
  <si>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</si>
  <si>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</si>
  <si>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</si>
  <si>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</si>
  <si>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</si>
  <si>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</si>
  <si>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</si>
  <si>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</si>
  <si>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</si>
  <si>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</si>
  <si>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</si>
  <si>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</si>
  <si>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</si>
  <si>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</si>
  <si>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</si>
  <si>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</si>
  <si>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</si>
  <si>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</si>
  <si>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</si>
  <si>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</si>
  <si>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</si>
  <si>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</si>
  <si>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</si>
  <si>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</si>
  <si>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</si>
  <si>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</si>
  <si>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</si>
  <si>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</si>
  <si>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</si>
  <si>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</si>
  <si>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</si>
  <si>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</si>
  <si>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</si>
  <si>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</si>
  <si>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</si>
  <si>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</si>
  <si>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</si>
  <si>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</si>
  <si>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</si>
  <si>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</si>
  <si>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</si>
  <si>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</si>
  <si>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</si>
  <si>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</si>
  <si>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</si>
  <si>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</si>
  <si>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</si>
  <si>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</si>
  <si>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</si>
  <si>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</si>
  <si>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</si>
  <si>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</si>
  <si>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</si>
  <si>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</si>
  <si>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</si>
  <si>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</si>
  <si>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</si>
  <si>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</si>
  <si>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</si>
  <si>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</si>
  <si>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</si>
  <si>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</si>
  <si>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</si>
  <si>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</si>
  <si>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</si>
  <si>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</si>
  <si>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</si>
  <si>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</si>
  <si>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</si>
  <si>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</si>
  <si>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</si>
  <si>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</si>
  <si>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</si>
  <si>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</si>
  <si>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</si>
  <si>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</si>
  <si>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</si>
  <si>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</si>
  <si>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</si>
  <si>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</si>
  <si>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</si>
  <si>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</si>
  <si>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</si>
  <si>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</si>
  <si>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</si>
  <si>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</si>
  <si>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</si>
  <si>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</si>
  <si>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</si>
  <si>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</si>
  <si>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</si>
  <si>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</si>
  <si>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</si>
  <si>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</si>
  <si>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</si>
  <si>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</si>
  <si>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</si>
  <si>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</si>
  <si>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</si>
  <si>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</si>
  <si>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</si>
  <si>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</si>
  <si>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</si>
  <si>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</si>
  <si>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</si>
  <si>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</si>
  <si>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</si>
  <si>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</si>
  <si>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</si>
  <si>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</si>
  <si>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</si>
  <si>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</si>
  <si>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</si>
  <si>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</si>
  <si>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</si>
  <si>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</si>
  <si>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</si>
  <si>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</si>
  <si>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</si>
  <si>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</si>
  <si>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</si>
  <si>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</si>
  <si>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</si>
  <si>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</si>
  <si>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</si>
  <si>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</si>
  <si>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</si>
  <si>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</si>
  <si>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</si>
  <si>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</si>
  <si>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</si>
  <si>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</si>
  <si>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</si>
  <si>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</si>
  <si>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</si>
  <si>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</si>
  <si>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</si>
  <si>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</si>
  <si>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</si>
  <si>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</si>
  <si>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</si>
  <si>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</si>
  <si>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</si>
  <si>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</si>
  <si>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</si>
  <si>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</si>
  <si>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</si>
  <si>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</si>
  <si>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</si>
  <si>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</si>
  <si>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</si>
  <si>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</si>
  <si>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</si>
  <si>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</si>
  <si>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</si>
  <si>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</si>
  <si>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</si>
  <si>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</si>
  <si>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</si>
  <si>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</si>
  <si>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</si>
  <si>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</si>
  <si>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</si>
  <si>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</si>
  <si>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</si>
  <si>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</si>
  <si>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</si>
  <si>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</si>
  <si>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</si>
  <si>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</si>
  <si>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</si>
  <si>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</si>
  <si>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</si>
  <si>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</si>
  <si>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</si>
  <si>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</si>
  <si>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</si>
  <si>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</si>
  <si>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</si>
  <si>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</si>
  <si>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</si>
  <si>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</si>
  <si>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</si>
  <si>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</si>
  <si>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</si>
  <si>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</si>
  <si>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</si>
  <si>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</si>
  <si>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</si>
  <si>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</si>
  <si>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</si>
  <si>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</si>
  <si>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</si>
  <si>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</si>
  <si>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</si>
  <si>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</si>
  <si>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</si>
  <si>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</si>
  <si>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</si>
  <si>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</si>
  <si>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</si>
  <si>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</si>
  <si>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</si>
  <si>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</si>
  <si>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</si>
  <si>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</si>
  <si>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</si>
  <si>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</si>
  <si>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</si>
  <si>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</si>
  <si>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</si>
  <si>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</si>
  <si>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</si>
  <si>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</si>
  <si>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</si>
  <si>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</si>
  <si>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</si>
  <si>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</si>
  <si>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</si>
  <si>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</si>
  <si>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</si>
  <si>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</si>
  <si>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</si>
  <si>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</si>
  <si>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</si>
  <si>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</si>
  <si>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</si>
  <si>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</si>
  <si>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</si>
  <si>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</si>
  <si>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</si>
  <si>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</si>
  <si>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</si>
  <si>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</si>
  <si>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</si>
  <si>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</si>
  <si>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</si>
  <si>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</si>
  <si>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</si>
  <si>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</si>
  <si>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</si>
  <si>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</si>
  <si>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</si>
  <si>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</si>
  <si>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</si>
  <si>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</si>
  <si>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</si>
  <si>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</si>
  <si>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</si>
  <si>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</si>
  <si>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</si>
  <si>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</si>
  <si>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</si>
  <si>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</si>
  <si>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</si>
  <si>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</si>
  <si>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</si>
  <si>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</si>
  <si>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</si>
  <si>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</si>
  <si>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</si>
  <si>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</si>
  <si>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</si>
  <si>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</si>
  <si>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</si>
  <si>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</si>
  <si>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</si>
  <si>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</si>
  <si>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</si>
  <si>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</si>
  <si>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</si>
  <si>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</si>
  <si>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</si>
  <si>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</si>
  <si>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</si>
  <si>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</si>
  <si>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</si>
  <si>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</si>
  <si>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</si>
  <si>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</si>
  <si>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24134</t>
  </si>
  <si>
    <t>SCHERPENHEUVEL-ZICHEM</t>
  </si>
  <si>
    <t>Paarden&amp;pony's 200 - 600 kg</t>
  </si>
  <si>
    <t>Paarden&amp;pony's &lt; 200 kg</t>
  </si>
  <si>
    <t>Fluvius</t>
  </si>
  <si>
    <t>referentietaak LNE (2017); Jaarverslag De Lijn</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</si>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</sst>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227476.41365907152</c:v>
                </c:pt>
                <c:pt idx="1">
                  <c:v>35534.333300426915</c:v>
                </c:pt>
                <c:pt idx="2">
                  <c:v>1402.5229999999999</c:v>
                </c:pt>
                <c:pt idx="3">
                  <c:v>3889.2928054500262</c:v>
                </c:pt>
                <c:pt idx="4">
                  <c:v>6087.9069689292246</c:v>
                </c:pt>
                <c:pt idx="5">
                  <c:v>96977.357674389787</c:v>
                </c:pt>
                <c:pt idx="6">
                  <c:v>1085.0131282740413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227476.41365907152</c:v>
                </c:pt>
                <c:pt idx="1">
                  <c:v>35534.333300426915</c:v>
                </c:pt>
                <c:pt idx="2">
                  <c:v>1402.5229999999999</c:v>
                </c:pt>
                <c:pt idx="3">
                  <c:v>3889.2928054500262</c:v>
                </c:pt>
                <c:pt idx="4">
                  <c:v>6087.9069689292246</c:v>
                </c:pt>
                <c:pt idx="5">
                  <c:v>96977.357674389787</c:v>
                </c:pt>
                <c:pt idx="6">
                  <c:v>1085.0131282740413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51151.109654594693</c:v>
                </c:pt>
                <c:pt idx="2">
                  <c:v>6999.5251535433099</c:v>
                </c:pt>
                <c:pt idx="3">
                  <c:v>281.36619905961982</c:v>
                </c:pt>
                <c:pt idx="4">
                  <c:v>923.92984257796127</c:v>
                </c:pt>
                <c:pt idx="5">
                  <c:v>1268.5448920357867</c:v>
                </c:pt>
                <c:pt idx="6">
                  <c:v>24292.608639008009</c:v>
                </c:pt>
                <c:pt idx="7">
                  <c:v>274.03547176690034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51151.109654594693</c:v>
                </c:pt>
                <c:pt idx="2">
                  <c:v>6999.5251535433099</c:v>
                </c:pt>
                <c:pt idx="3">
                  <c:v>281.36619905961982</c:v>
                </c:pt>
                <c:pt idx="4">
                  <c:v>923.92984257796127</c:v>
                </c:pt>
                <c:pt idx="5">
                  <c:v>1268.5448920357867</c:v>
                </c:pt>
                <c:pt idx="6">
                  <c:v>24292.608639008009</c:v>
                </c:pt>
                <c:pt idx="7">
                  <c:v>274.03547176690034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24134</v>
      </c>
      <c r="B6" s="391"/>
      <c r="C6" s="392"/>
    </row>
    <row r="7" spans="1:7" s="389" customFormat="1" ht="15.75" customHeight="1">
      <c r="A7" s="393" t="str">
        <f>txtMunicipality</f>
        <v>SCHERPENHEUVEL-ZICHEM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0.20061432080587616</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0.20061432080587616</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9786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1729</v>
      </c>
      <c r="C14" s="330"/>
      <c r="D14" s="330"/>
      <c r="E14" s="330"/>
      <c r="F14" s="330"/>
    </row>
    <row r="15" spans="1:6">
      <c r="A15" s="1305" t="s">
        <v>183</v>
      </c>
      <c r="B15" s="1306">
        <v>9</v>
      </c>
      <c r="C15" s="330"/>
      <c r="D15" s="330"/>
      <c r="E15" s="330"/>
      <c r="F15" s="330"/>
    </row>
    <row r="16" spans="1:6">
      <c r="A16" s="1305" t="s">
        <v>6</v>
      </c>
      <c r="B16" s="1306">
        <v>460</v>
      </c>
      <c r="C16" s="330"/>
      <c r="D16" s="330"/>
      <c r="E16" s="330"/>
      <c r="F16" s="330"/>
    </row>
    <row r="17" spans="1:6">
      <c r="A17" s="1305" t="s">
        <v>7</v>
      </c>
      <c r="B17" s="1306">
        <v>245</v>
      </c>
      <c r="C17" s="330"/>
      <c r="D17" s="330"/>
      <c r="E17" s="330"/>
      <c r="F17" s="330"/>
    </row>
    <row r="18" spans="1:6">
      <c r="A18" s="1305" t="s">
        <v>8</v>
      </c>
      <c r="B18" s="1306">
        <v>444</v>
      </c>
      <c r="C18" s="330"/>
      <c r="D18" s="330"/>
      <c r="E18" s="330"/>
      <c r="F18" s="330"/>
    </row>
    <row r="19" spans="1:6">
      <c r="A19" s="1305" t="s">
        <v>9</v>
      </c>
      <c r="B19" s="1306">
        <v>364</v>
      </c>
      <c r="C19" s="330"/>
      <c r="D19" s="330"/>
      <c r="E19" s="330"/>
      <c r="F19" s="330"/>
    </row>
    <row r="20" spans="1:6">
      <c r="A20" s="1305" t="s">
        <v>10</v>
      </c>
      <c r="B20" s="1306">
        <v>241</v>
      </c>
      <c r="C20" s="330"/>
      <c r="D20" s="330"/>
      <c r="E20" s="330"/>
      <c r="F20" s="330"/>
    </row>
    <row r="21" spans="1:6">
      <c r="A21" s="1305" t="s">
        <v>11</v>
      </c>
      <c r="B21" s="1306">
        <v>0</v>
      </c>
      <c r="C21" s="330"/>
      <c r="D21" s="330"/>
      <c r="E21" s="330"/>
      <c r="F21" s="330"/>
    </row>
    <row r="22" spans="1:6">
      <c r="A22" s="1305" t="s">
        <v>12</v>
      </c>
      <c r="B22" s="1306">
        <v>3065</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148</v>
      </c>
      <c r="C26" s="330"/>
      <c r="D26" s="330"/>
      <c r="E26" s="330"/>
      <c r="F26" s="330"/>
    </row>
    <row r="27" spans="1:6">
      <c r="A27" s="1305" t="s">
        <v>17</v>
      </c>
      <c r="B27" s="1306">
        <v>4</v>
      </c>
      <c r="C27" s="330"/>
      <c r="D27" s="330"/>
      <c r="E27" s="330"/>
      <c r="F27" s="330"/>
    </row>
    <row r="28" spans="1:6" s="43" customFormat="1">
      <c r="A28" s="1307" t="s">
        <v>18</v>
      </c>
      <c r="B28" s="1308">
        <v>0</v>
      </c>
      <c r="C28" s="336"/>
      <c r="D28" s="336"/>
      <c r="E28" s="336"/>
      <c r="F28" s="336"/>
    </row>
    <row r="29" spans="1:6">
      <c r="A29" s="1307" t="s">
        <v>909</v>
      </c>
      <c r="B29" s="1308">
        <v>91</v>
      </c>
      <c r="C29" s="336"/>
      <c r="D29" s="336"/>
      <c r="E29" s="336"/>
      <c r="F29" s="336"/>
    </row>
    <row r="30" spans="1:6">
      <c r="A30" s="1300" t="s">
        <v>910</v>
      </c>
      <c r="B30" s="1309">
        <v>30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9708</v>
      </c>
    </row>
    <row r="39" spans="1:6">
      <c r="A39" s="1305" t="s">
        <v>29</v>
      </c>
      <c r="B39" s="1305" t="s">
        <v>30</v>
      </c>
      <c r="C39" s="1306">
        <v>3444</v>
      </c>
      <c r="D39" s="1306">
        <v>50205025.804645099</v>
      </c>
      <c r="E39" s="1306">
        <v>9721</v>
      </c>
      <c r="F39" s="1306">
        <v>37450290</v>
      </c>
    </row>
    <row r="40" spans="1:6">
      <c r="A40" s="1305" t="s">
        <v>29</v>
      </c>
      <c r="B40" s="1305" t="s">
        <v>28</v>
      </c>
      <c r="C40" s="1306">
        <v>0</v>
      </c>
      <c r="D40" s="1306">
        <v>0</v>
      </c>
      <c r="E40" s="1306">
        <v>0</v>
      </c>
      <c r="F40" s="1306">
        <v>0</v>
      </c>
    </row>
    <row r="41" spans="1:6">
      <c r="A41" s="1305" t="s">
        <v>31</v>
      </c>
      <c r="B41" s="1305" t="s">
        <v>32</v>
      </c>
      <c r="C41" s="1306">
        <v>16</v>
      </c>
      <c r="D41" s="1306">
        <v>344068.60153961298</v>
      </c>
      <c r="E41" s="1306">
        <v>90</v>
      </c>
      <c r="F41" s="1306">
        <v>495244.5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148789.29999999999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30</v>
      </c>
      <c r="D48" s="1306">
        <v>708896.15233917604</v>
      </c>
      <c r="E48" s="1306">
        <v>72</v>
      </c>
      <c r="F48" s="1306">
        <v>1078669</v>
      </c>
    </row>
    <row r="49" spans="1:6">
      <c r="A49" s="1305" t="s">
        <v>31</v>
      </c>
      <c r="B49" s="1305" t="s">
        <v>39</v>
      </c>
      <c r="C49" s="1306">
        <v>0</v>
      </c>
      <c r="D49" s="1306">
        <v>0</v>
      </c>
      <c r="E49" s="1306">
        <v>0</v>
      </c>
      <c r="F49" s="1306">
        <v>0</v>
      </c>
    </row>
    <row r="50" spans="1:6">
      <c r="A50" s="1305" t="s">
        <v>31</v>
      </c>
      <c r="B50" s="1305" t="s">
        <v>40</v>
      </c>
      <c r="C50" s="1306">
        <v>9</v>
      </c>
      <c r="D50" s="1306">
        <v>272099.56589942699</v>
      </c>
      <c r="E50" s="1306">
        <v>13</v>
      </c>
      <c r="F50" s="1306">
        <v>633424</v>
      </c>
    </row>
    <row r="51" spans="1:6">
      <c r="A51" s="1305" t="s">
        <v>41</v>
      </c>
      <c r="B51" s="1305" t="s">
        <v>42</v>
      </c>
      <c r="C51" s="1306">
        <v>4</v>
      </c>
      <c r="D51" s="1306">
        <v>98018.559345909307</v>
      </c>
      <c r="E51" s="1306">
        <v>23</v>
      </c>
      <c r="F51" s="1306">
        <v>183711.2</v>
      </c>
    </row>
    <row r="52" spans="1:6">
      <c r="A52" s="1305" t="s">
        <v>41</v>
      </c>
      <c r="B52" s="1305" t="s">
        <v>28</v>
      </c>
      <c r="C52" s="1306">
        <v>8</v>
      </c>
      <c r="D52" s="1306">
        <v>1181547.0892212</v>
      </c>
      <c r="E52" s="1306">
        <v>22</v>
      </c>
      <c r="F52" s="1306">
        <v>555558.80000000005</v>
      </c>
    </row>
    <row r="53" spans="1:6">
      <c r="A53" s="1305" t="s">
        <v>43</v>
      </c>
      <c r="B53" s="1305" t="s">
        <v>44</v>
      </c>
      <c r="C53" s="1306">
        <v>110</v>
      </c>
      <c r="D53" s="1306">
        <v>1693468.38622455</v>
      </c>
      <c r="E53" s="1306">
        <v>332</v>
      </c>
      <c r="F53" s="1306">
        <v>1089353</v>
      </c>
    </row>
    <row r="54" spans="1:6">
      <c r="A54" s="1305" t="s">
        <v>45</v>
      </c>
      <c r="B54" s="1305" t="s">
        <v>46</v>
      </c>
      <c r="C54" s="1306">
        <v>0</v>
      </c>
      <c r="D54" s="1306">
        <v>0</v>
      </c>
      <c r="E54" s="1306">
        <v>1</v>
      </c>
      <c r="F54" s="1306">
        <v>1402523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32</v>
      </c>
      <c r="D57" s="1306">
        <v>2186472.2811189499</v>
      </c>
      <c r="E57" s="1306">
        <v>95</v>
      </c>
      <c r="F57" s="1306">
        <v>1428822</v>
      </c>
    </row>
    <row r="58" spans="1:6">
      <c r="A58" s="1305" t="s">
        <v>48</v>
      </c>
      <c r="B58" s="1305" t="s">
        <v>50</v>
      </c>
      <c r="C58" s="1306">
        <v>12</v>
      </c>
      <c r="D58" s="1306">
        <v>256971.08702953899</v>
      </c>
      <c r="E58" s="1306">
        <v>55</v>
      </c>
      <c r="F58" s="1306">
        <v>433302.1</v>
      </c>
    </row>
    <row r="59" spans="1:6">
      <c r="A59" s="1305" t="s">
        <v>48</v>
      </c>
      <c r="B59" s="1305" t="s">
        <v>51</v>
      </c>
      <c r="C59" s="1306">
        <v>42</v>
      </c>
      <c r="D59" s="1306">
        <v>1246043.89132976</v>
      </c>
      <c r="E59" s="1306">
        <v>160</v>
      </c>
      <c r="F59" s="1306">
        <v>4130769</v>
      </c>
    </row>
    <row r="60" spans="1:6">
      <c r="A60" s="1305" t="s">
        <v>48</v>
      </c>
      <c r="B60" s="1305" t="s">
        <v>52</v>
      </c>
      <c r="C60" s="1306">
        <v>57</v>
      </c>
      <c r="D60" s="1306">
        <v>2133996.3302744799</v>
      </c>
      <c r="E60" s="1306">
        <v>94</v>
      </c>
      <c r="F60" s="1306">
        <v>1996352</v>
      </c>
    </row>
    <row r="61" spans="1:6">
      <c r="A61" s="1305" t="s">
        <v>48</v>
      </c>
      <c r="B61" s="1305" t="s">
        <v>53</v>
      </c>
      <c r="C61" s="1306">
        <v>63</v>
      </c>
      <c r="D61" s="1306">
        <v>3812993.89145103</v>
      </c>
      <c r="E61" s="1306">
        <v>260</v>
      </c>
      <c r="F61" s="1306">
        <v>2828650</v>
      </c>
    </row>
    <row r="62" spans="1:6">
      <c r="A62" s="1305" t="s">
        <v>48</v>
      </c>
      <c r="B62" s="1305" t="s">
        <v>54</v>
      </c>
      <c r="C62" s="1306">
        <v>3</v>
      </c>
      <c r="D62" s="1306">
        <v>214334.59066298499</v>
      </c>
      <c r="E62" s="1306">
        <v>6</v>
      </c>
      <c r="F62" s="1306">
        <v>83390.679999999993</v>
      </c>
    </row>
    <row r="63" spans="1:6">
      <c r="A63" s="1305" t="s">
        <v>48</v>
      </c>
      <c r="B63" s="1305" t="s">
        <v>28</v>
      </c>
      <c r="C63" s="1306">
        <v>156</v>
      </c>
      <c r="D63" s="1306">
        <v>6172443.7296272703</v>
      </c>
      <c r="E63" s="1306">
        <v>215</v>
      </c>
      <c r="F63" s="1306">
        <v>5852097</v>
      </c>
    </row>
    <row r="64" spans="1:6">
      <c r="A64" s="1305" t="s">
        <v>55</v>
      </c>
      <c r="B64" s="1305" t="s">
        <v>56</v>
      </c>
      <c r="C64" s="1306">
        <v>0</v>
      </c>
      <c r="D64" s="1306">
        <v>0</v>
      </c>
      <c r="E64" s="1306">
        <v>0</v>
      </c>
      <c r="F64" s="1306">
        <v>0</v>
      </c>
    </row>
    <row r="65" spans="1:6">
      <c r="A65" s="1305" t="s">
        <v>55</v>
      </c>
      <c r="B65" s="1305" t="s">
        <v>28</v>
      </c>
      <c r="C65" s="1306">
        <v>1</v>
      </c>
      <c r="D65" s="1306">
        <v>25728.619795343999</v>
      </c>
      <c r="E65" s="1306">
        <v>7</v>
      </c>
      <c r="F65" s="1306">
        <v>31543.3</v>
      </c>
    </row>
    <row r="66" spans="1:6">
      <c r="A66" s="1305" t="s">
        <v>55</v>
      </c>
      <c r="B66" s="1305" t="s">
        <v>57</v>
      </c>
      <c r="C66" s="1306">
        <v>0</v>
      </c>
      <c r="D66" s="1306">
        <v>0</v>
      </c>
      <c r="E66" s="1306">
        <v>9</v>
      </c>
      <c r="F66" s="1306">
        <v>19730.740000000002</v>
      </c>
    </row>
    <row r="67" spans="1:6">
      <c r="A67" s="1307" t="s">
        <v>55</v>
      </c>
      <c r="B67" s="1307" t="s">
        <v>58</v>
      </c>
      <c r="C67" s="1306">
        <v>0</v>
      </c>
      <c r="D67" s="1306">
        <v>0</v>
      </c>
      <c r="E67" s="1306">
        <v>0</v>
      </c>
      <c r="F67" s="1306">
        <v>0</v>
      </c>
    </row>
    <row r="68" spans="1:6">
      <c r="A68" s="1300" t="s">
        <v>55</v>
      </c>
      <c r="B68" s="1300" t="s">
        <v>59</v>
      </c>
      <c r="C68" s="1309">
        <v>4</v>
      </c>
      <c r="D68" s="1309">
        <v>142623.44489216301</v>
      </c>
      <c r="E68" s="1309">
        <v>12</v>
      </c>
      <c r="F68" s="1309">
        <v>84946.95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49428648</v>
      </c>
      <c r="E73" s="450"/>
      <c r="F73" s="330"/>
    </row>
    <row r="74" spans="1:6">
      <c r="A74" s="1305" t="s">
        <v>63</v>
      </c>
      <c r="B74" s="1305" t="s">
        <v>710</v>
      </c>
      <c r="C74" s="1319" t="s">
        <v>712</v>
      </c>
      <c r="D74" s="1320">
        <v>4204897.839473037</v>
      </c>
      <c r="E74" s="450"/>
      <c r="F74" s="330"/>
    </row>
    <row r="75" spans="1:6">
      <c r="A75" s="1305" t="s">
        <v>64</v>
      </c>
      <c r="B75" s="1305" t="s">
        <v>709</v>
      </c>
      <c r="C75" s="1319" t="s">
        <v>713</v>
      </c>
      <c r="D75" s="1320">
        <v>40800396</v>
      </c>
      <c r="E75" s="450"/>
      <c r="F75" s="330"/>
    </row>
    <row r="76" spans="1:6">
      <c r="A76" s="1305" t="s">
        <v>64</v>
      </c>
      <c r="B76" s="1305" t="s">
        <v>710</v>
      </c>
      <c r="C76" s="1319" t="s">
        <v>714</v>
      </c>
      <c r="D76" s="1320">
        <v>1700427.8394730368</v>
      </c>
      <c r="E76" s="450"/>
      <c r="F76" s="330"/>
    </row>
    <row r="77" spans="1:6">
      <c r="A77" s="1305" t="s">
        <v>65</v>
      </c>
      <c r="B77" s="1305" t="s">
        <v>709</v>
      </c>
      <c r="C77" s="1319" t="s">
        <v>715</v>
      </c>
      <c r="D77" s="1320">
        <v>11842050</v>
      </c>
      <c r="E77" s="450"/>
      <c r="F77" s="330"/>
    </row>
    <row r="78" spans="1:6">
      <c r="A78" s="1300" t="s">
        <v>65</v>
      </c>
      <c r="B78" s="1300" t="s">
        <v>710</v>
      </c>
      <c r="C78" s="1300" t="s">
        <v>716</v>
      </c>
      <c r="D78" s="1321">
        <v>1352734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291326.32105392648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4897.4276904758926</v>
      </c>
      <c r="C91" s="330"/>
      <c r="D91" s="330"/>
      <c r="E91" s="330"/>
      <c r="F91" s="330"/>
    </row>
    <row r="92" spans="1:6">
      <c r="A92" s="1300" t="s">
        <v>68</v>
      </c>
      <c r="B92" s="1301">
        <v>1085.76143063976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1234</v>
      </c>
      <c r="C97" s="330"/>
      <c r="D97" s="330"/>
      <c r="E97" s="330"/>
      <c r="F97" s="330"/>
    </row>
    <row r="98" spans="1:6">
      <c r="A98" s="1305" t="s">
        <v>71</v>
      </c>
      <c r="B98" s="1306">
        <v>1</v>
      </c>
      <c r="C98" s="330"/>
      <c r="D98" s="330"/>
      <c r="E98" s="330"/>
      <c r="F98" s="330"/>
    </row>
    <row r="99" spans="1:6">
      <c r="A99" s="1305" t="s">
        <v>72</v>
      </c>
      <c r="B99" s="1306">
        <v>130</v>
      </c>
      <c r="C99" s="330"/>
      <c r="D99" s="330"/>
      <c r="E99" s="330"/>
      <c r="F99" s="330"/>
    </row>
    <row r="100" spans="1:6">
      <c r="A100" s="1305" t="s">
        <v>73</v>
      </c>
      <c r="B100" s="1306">
        <v>475</v>
      </c>
      <c r="C100" s="330"/>
      <c r="D100" s="330"/>
      <c r="E100" s="330"/>
      <c r="F100" s="330"/>
    </row>
    <row r="101" spans="1:6">
      <c r="A101" s="1305" t="s">
        <v>74</v>
      </c>
      <c r="B101" s="1306">
        <v>64</v>
      </c>
      <c r="C101" s="330"/>
      <c r="D101" s="330"/>
      <c r="E101" s="330"/>
      <c r="F101" s="330"/>
    </row>
    <row r="102" spans="1:6">
      <c r="A102" s="1305" t="s">
        <v>75</v>
      </c>
      <c r="B102" s="1306">
        <v>106</v>
      </c>
      <c r="C102" s="330"/>
      <c r="D102" s="330"/>
      <c r="E102" s="330"/>
      <c r="F102" s="330"/>
    </row>
    <row r="103" spans="1:6">
      <c r="A103" s="1305" t="s">
        <v>76</v>
      </c>
      <c r="B103" s="1306">
        <v>209</v>
      </c>
      <c r="C103" s="330"/>
      <c r="D103" s="330"/>
      <c r="E103" s="330"/>
      <c r="F103" s="330"/>
    </row>
    <row r="104" spans="1:6">
      <c r="A104" s="1305" t="s">
        <v>77</v>
      </c>
      <c r="B104" s="1306">
        <v>6605</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23</v>
      </c>
      <c r="C123" s="1306">
        <v>18</v>
      </c>
      <c r="D123" s="330"/>
      <c r="E123" s="330"/>
      <c r="F123" s="330"/>
    </row>
    <row r="124" spans="1:6" s="43" customFormat="1">
      <c r="A124" s="1307" t="s">
        <v>88</v>
      </c>
      <c r="B124" s="1328">
        <v>3</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182</v>
      </c>
      <c r="C129" s="330"/>
      <c r="D129" s="330"/>
      <c r="E129" s="330"/>
      <c r="F129" s="330"/>
    </row>
    <row r="130" spans="1:6">
      <c r="A130" s="1305" t="s">
        <v>294</v>
      </c>
      <c r="B130" s="1306">
        <v>2</v>
      </c>
      <c r="C130" s="330"/>
      <c r="D130" s="330"/>
      <c r="E130" s="330"/>
      <c r="F130" s="330"/>
    </row>
    <row r="131" spans="1:6">
      <c r="A131" s="1305" t="s">
        <v>295</v>
      </c>
      <c r="B131" s="1306">
        <v>3</v>
      </c>
      <c r="C131" s="330"/>
      <c r="D131" s="330"/>
      <c r="E131" s="330"/>
      <c r="F131" s="330"/>
    </row>
    <row r="132" spans="1:6">
      <c r="A132" s="1300" t="s">
        <v>296</v>
      </c>
      <c r="B132" s="1301">
        <v>20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64789.921782599049</v>
      </c>
      <c r="C3" s="43" t="s">
        <v>169</v>
      </c>
      <c r="D3" s="43"/>
      <c r="E3" s="154"/>
      <c r="F3" s="43"/>
      <c r="G3" s="43"/>
      <c r="H3" s="43"/>
      <c r="I3" s="43"/>
      <c r="J3" s="43"/>
      <c r="K3" s="96"/>
    </row>
    <row r="4" spans="1:11">
      <c r="A4" s="359" t="s">
        <v>170</v>
      </c>
      <c r="B4" s="49">
        <f>IF(ISERROR('SEAP template'!B78+'SEAP template'!C78),0,'SEAP template'!B78+'SEAP template'!C78)</f>
        <v>6073.1891211156526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21.388235294117649</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0.20061432080587616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30.554621848739504</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128.57142857142858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1402.5229999999999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1402.5229999999999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0.20061432080587616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281.36619905961982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37450.29</v>
      </c>
      <c r="C5" s="17">
        <f>IF(ISERROR('Eigen informatie GS &amp; warmtenet'!B57),0,'Eigen informatie GS &amp; warmtenet'!B57)</f>
        <v>0</v>
      </c>
      <c r="D5" s="30">
        <f>(SUM(HH_hh_gas_kWh,HH_rest_gas_kWh)/1000)*0.902</f>
        <v>45284.933275789881</v>
      </c>
      <c r="E5" s="17">
        <f>B46*B57</f>
        <v>26060.247491642105</v>
      </c>
      <c r="F5" s="17">
        <f>B51*B62</f>
        <v>103342.01621770997</v>
      </c>
      <c r="G5" s="18"/>
      <c r="H5" s="17"/>
      <c r="I5" s="17"/>
      <c r="J5" s="17">
        <f>B50*B61+C50*C61</f>
        <v>0</v>
      </c>
      <c r="K5" s="17"/>
      <c r="L5" s="17"/>
      <c r="M5" s="17"/>
      <c r="N5" s="17">
        <f>B48*B59+C48*C59</f>
        <v>9251.7656501203182</v>
      </c>
      <c r="O5" s="17">
        <f>B69*B70*B71</f>
        <v>312.66666666666669</v>
      </c>
      <c r="P5" s="17">
        <f>B77*B78*B79/1000-B77*B78*B79/1000/B80</f>
        <v>877.06666666666661</v>
      </c>
    </row>
    <row r="6" spans="1:16">
      <c r="A6" s="16" t="s">
        <v>630</v>
      </c>
      <c r="B6" s="763">
        <f>kWh_PV_kleiner_dan_10kW</f>
        <v>4897.4276904758926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42347.717690475896</v>
      </c>
      <c r="C8" s="21">
        <f>C5</f>
        <v>0</v>
      </c>
      <c r="D8" s="21">
        <f>D5</f>
        <v>45284.933275789881</v>
      </c>
      <c r="E8" s="21">
        <f>E5</f>
        <v>26060.247491642105</v>
      </c>
      <c r="F8" s="21">
        <f>F5</f>
        <v>103342.01621770997</v>
      </c>
      <c r="G8" s="21"/>
      <c r="H8" s="21"/>
      <c r="I8" s="21"/>
      <c r="J8" s="21">
        <f>J5</f>
        <v>0</v>
      </c>
      <c r="K8" s="21"/>
      <c r="L8" s="21">
        <f>L5</f>
        <v>0</v>
      </c>
      <c r="M8" s="21">
        <f>M5</f>
        <v>0</v>
      </c>
      <c r="N8" s="21">
        <f>N5</f>
        <v>9251.7656501203182</v>
      </c>
      <c r="O8" s="21">
        <f>O5</f>
        <v>312.66666666666669</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0.20061432080587616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8495.5586221538088</v>
      </c>
      <c r="C12" s="23">
        <f ca="1">C10*C8</f>
        <v>0</v>
      </c>
      <c r="D12" s="23">
        <f>D8*D10</f>
        <v>9147.5565217095573</v>
      </c>
      <c r="E12" s="23">
        <f>E10*E8</f>
        <v>5915.676180602758</v>
      </c>
      <c r="F12" s="23">
        <f>F10*F8</f>
        <v>27592.318330128564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1234</v>
      </c>
      <c r="C18" s="166" t="s">
        <v>110</v>
      </c>
      <c r="D18" s="228"/>
      <c r="E18" s="15"/>
    </row>
    <row r="19" spans="1:7">
      <c r="A19" s="171" t="s">
        <v>71</v>
      </c>
      <c r="B19" s="37">
        <f>aantalw2001_ander</f>
        <v>1</v>
      </c>
      <c r="C19" s="166" t="s">
        <v>110</v>
      </c>
      <c r="D19" s="229"/>
      <c r="E19" s="15"/>
    </row>
    <row r="20" spans="1:7">
      <c r="A20" s="171" t="s">
        <v>72</v>
      </c>
      <c r="B20" s="37">
        <f>aantalw2001_propaan</f>
        <v>130</v>
      </c>
      <c r="C20" s="167">
        <f>IF(ISERROR(B20/SUM($B$20,$B$21,$B$22)*100),0,B20/SUM($B$20,$B$21,$B$22)*100)</f>
        <v>19.431988041853511</v>
      </c>
      <c r="D20" s="229"/>
      <c r="E20" s="15"/>
    </row>
    <row r="21" spans="1:7">
      <c r="A21" s="171" t="s">
        <v>73</v>
      </c>
      <c r="B21" s="37">
        <f>aantalw2001_elektriciteit</f>
        <v>475</v>
      </c>
      <c r="C21" s="167">
        <f>IF(ISERROR(B21/SUM($B$20,$B$21,$B$22)*100),0,B21/SUM($B$20,$B$21,$B$22)*100)</f>
        <v>71.00149476831092</v>
      </c>
      <c r="D21" s="229"/>
      <c r="E21" s="15"/>
    </row>
    <row r="22" spans="1:7">
      <c r="A22" s="171" t="s">
        <v>74</v>
      </c>
      <c r="B22" s="37">
        <f>aantalw2001_hout</f>
        <v>64</v>
      </c>
      <c r="C22" s="167">
        <f>IF(ISERROR(B22/SUM($B$20,$B$21,$B$22)*100),0,B22/SUM($B$20,$B$21,$B$22)*100)</f>
        <v>9.5665171898355759</v>
      </c>
      <c r="D22" s="229"/>
      <c r="E22" s="15"/>
    </row>
    <row r="23" spans="1:7">
      <c r="A23" s="171" t="s">
        <v>75</v>
      </c>
      <c r="B23" s="37">
        <f>aantalw2001_niet_gespec</f>
        <v>106</v>
      </c>
      <c r="C23" s="166" t="s">
        <v>110</v>
      </c>
      <c r="D23" s="228"/>
      <c r="E23" s="15"/>
    </row>
    <row r="24" spans="1:7">
      <c r="A24" s="171" t="s">
        <v>76</v>
      </c>
      <c r="B24" s="37">
        <f>aantalw2001_steenkool</f>
        <v>209</v>
      </c>
      <c r="C24" s="166" t="s">
        <v>110</v>
      </c>
      <c r="D24" s="229"/>
      <c r="E24" s="15"/>
    </row>
    <row r="25" spans="1:7">
      <c r="A25" s="171" t="s">
        <v>77</v>
      </c>
      <c r="B25" s="37">
        <f>aantalw2001_stookolie</f>
        <v>6605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9786</v>
      </c>
      <c r="C28" s="36"/>
      <c r="D28" s="228"/>
    </row>
    <row r="29" spans="1:7" s="15" customFormat="1">
      <c r="A29" s="230" t="s">
        <v>737</v>
      </c>
      <c r="B29" s="37">
        <f>SUM(HH_hh_gas_aantal,HH_rest_gas_aantal)</f>
        <v>3444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3444</v>
      </c>
      <c r="C32" s="167">
        <f>IF(ISERROR(B32/SUM($B$32,$B$34,$B$35,$B$36,$B$38,$B$39)*100),0,B32/SUM($B$32,$B$34,$B$35,$B$36,$B$38,$B$39)*100)</f>
        <v>35.359342915811084</v>
      </c>
      <c r="D32" s="233"/>
      <c r="G32" s="15"/>
    </row>
    <row r="33" spans="1:7">
      <c r="A33" s="171" t="s">
        <v>71</v>
      </c>
      <c r="B33" s="34" t="s">
        <v>110</v>
      </c>
      <c r="C33" s="167"/>
      <c r="D33" s="233"/>
      <c r="G33" s="15"/>
    </row>
    <row r="34" spans="1:7">
      <c r="A34" s="171" t="s">
        <v>72</v>
      </c>
      <c r="B34" s="33">
        <f>IF((($B$28-$B$32-$B$39-$B$77-$B$38)*C20/100)&lt;0,0,($B$28-$B$32-$B$39-$B$77-$B$38)*C20/100)</f>
        <v>326.45739910313898</v>
      </c>
      <c r="C34" s="167">
        <f>IF(ISERROR(B34/SUM($B$32,$B$34,$B$35,$B$36,$B$38,$B$39)*100),0,B34/SUM($B$32,$B$34,$B$35,$B$36,$B$38,$B$39)*100)</f>
        <v>3.3517186766236038</v>
      </c>
      <c r="D34" s="233"/>
      <c r="G34" s="15"/>
    </row>
    <row r="35" spans="1:7">
      <c r="A35" s="171" t="s">
        <v>73</v>
      </c>
      <c r="B35" s="33">
        <f>IF((($B$28-$B$32-$B$39-$B$77-$B$38)*C21/100)&lt;0,0,($B$28-$B$32-$B$39-$B$77-$B$38)*C21/100)</f>
        <v>1192.8251121076235</v>
      </c>
      <c r="C35" s="167">
        <f>IF(ISERROR(B35/SUM($B$32,$B$34,$B$35,$B$36,$B$38,$B$39)*100),0,B35/SUM($B$32,$B$34,$B$35,$B$36,$B$38,$B$39)*100)</f>
        <v>12.246664395355475</v>
      </c>
      <c r="D35" s="233"/>
      <c r="G35" s="15"/>
    </row>
    <row r="36" spans="1:7">
      <c r="A36" s="171" t="s">
        <v>74</v>
      </c>
      <c r="B36" s="33">
        <f>IF((($B$28-$B$32-$B$39-$B$77-$B$38)*C22/100)&lt;0,0,($B$28-$B$32-$B$39-$B$77-$B$38)*C22/100)</f>
        <v>160.71748878923768</v>
      </c>
      <c r="C36" s="167">
        <f>IF(ISERROR(B36/SUM($B$32,$B$34,$B$35,$B$36,$B$38,$B$39)*100),0,B36/SUM($B$32,$B$34,$B$35,$B$36,$B$38,$B$39)*100)</f>
        <v>1.6500768869531588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4616</v>
      </c>
      <c r="C39" s="167">
        <f>IF(ISERROR(B39/SUM($B$32,$B$34,$B$35,$B$36,$B$38,$B$39)*100),0,B39/SUM($B$32,$B$34,$B$35,$B$36,$B$38,$B$39)*100)</f>
        <v>47.392197125256672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3444</v>
      </c>
      <c r="C44" s="34" t="s">
        <v>110</v>
      </c>
      <c r="D44" s="174"/>
    </row>
    <row r="45" spans="1:7">
      <c r="A45" s="171" t="s">
        <v>71</v>
      </c>
      <c r="B45" s="33" t="str">
        <f t="shared" si="0"/>
        <v>-</v>
      </c>
      <c r="C45" s="34" t="s">
        <v>110</v>
      </c>
      <c r="D45" s="174"/>
    </row>
    <row r="46" spans="1:7">
      <c r="A46" s="171" t="s">
        <v>72</v>
      </c>
      <c r="B46" s="33">
        <f t="shared" si="0"/>
        <v>326.45739910313898</v>
      </c>
      <c r="C46" s="34" t="s">
        <v>110</v>
      </c>
      <c r="D46" s="174"/>
    </row>
    <row r="47" spans="1:7">
      <c r="A47" s="171" t="s">
        <v>73</v>
      </c>
      <c r="B47" s="33">
        <f t="shared" si="0"/>
        <v>1192.8251121076235</v>
      </c>
      <c r="C47" s="34" t="s">
        <v>110</v>
      </c>
      <c r="D47" s="174"/>
    </row>
    <row r="48" spans="1:7">
      <c r="A48" s="171" t="s">
        <v>74</v>
      </c>
      <c r="B48" s="33">
        <f t="shared" si="0"/>
        <v>160.71748878923768</v>
      </c>
      <c r="C48" s="33">
        <f>B48*10</f>
        <v>1607.1748878923768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4616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16753.38278</v>
      </c>
      <c r="C5" s="17">
        <f>IF(ISERROR('Eigen informatie GS &amp; warmtenet'!B58),0,'Eigen informatie GS &amp; warmtenet'!B58)</f>
        <v>0</v>
      </c>
      <c r="D5" s="30">
        <f>SUM(D6:D12)</f>
        <v>14452.9767329476</v>
      </c>
      <c r="E5" s="17">
        <f>SUM(E6:E12)</f>
        <v>194.5731090739821</v>
      </c>
      <c r="F5" s="17">
        <f>SUM(F6:F12)</f>
        <v>2540.1505488356879</v>
      </c>
      <c r="G5" s="18"/>
      <c r="H5" s="17"/>
      <c r="I5" s="17"/>
      <c r="J5" s="17">
        <f>SUM(J6:J12)</f>
        <v>0</v>
      </c>
      <c r="K5" s="17"/>
      <c r="L5" s="17"/>
      <c r="M5" s="17"/>
      <c r="N5" s="17">
        <f>SUM(N6:N12)</f>
        <v>1571.4948914744143</v>
      </c>
      <c r="O5" s="17">
        <f>B38*B39*B40</f>
        <v>3.1266666666666669</v>
      </c>
      <c r="P5" s="17">
        <f>B46*B47*B48/1000-B46*B47*B48/1000/B49</f>
        <v>57.2</v>
      </c>
      <c r="R5" s="32"/>
    </row>
    <row r="6" spans="1:18">
      <c r="A6" s="32" t="s">
        <v>53</v>
      </c>
      <c r="B6" s="37">
        <f>B26</f>
        <v>2828.65</v>
      </c>
      <c r="C6" s="33"/>
      <c r="D6" s="37">
        <f>IF(ISERROR(TER_kantoor_gas_kWh/1000),0,TER_kantoor_gas_kWh/1000)*0.902</f>
        <v>3439.320490088829</v>
      </c>
      <c r="E6" s="33">
        <f>$C$26*'E Balans VL '!I12/100/3.6*1000000</f>
        <v>8.1950140718020208</v>
      </c>
      <c r="F6" s="33">
        <f>$C$26*('E Balans VL '!L12+'E Balans VL '!N12)/100/3.6*1000000</f>
        <v>320.14086000868497</v>
      </c>
      <c r="G6" s="34"/>
      <c r="H6" s="33"/>
      <c r="I6" s="33"/>
      <c r="J6" s="33">
        <f>$C$26*('E Balans VL '!D12+'E Balans VL '!E12)/100/3.6*1000000</f>
        <v>0</v>
      </c>
      <c r="K6" s="33"/>
      <c r="L6" s="33"/>
      <c r="M6" s="33"/>
      <c r="N6" s="33">
        <f>$C$26*'E Balans VL '!Y12/100/3.6*1000000</f>
        <v>28.312702257621147</v>
      </c>
      <c r="O6" s="33"/>
      <c r="P6" s="33"/>
      <c r="R6" s="32"/>
    </row>
    <row r="7" spans="1:18">
      <c r="A7" s="32" t="s">
        <v>52</v>
      </c>
      <c r="B7" s="37">
        <f t="shared" ref="B7:B12" si="0">B27</f>
        <v>1996.3520000000001</v>
      </c>
      <c r="C7" s="33"/>
      <c r="D7" s="37">
        <f>IF(ISERROR(TER_horeca_gas_kWh/1000),0,TER_horeca_gas_kWh/1000)*0.902</f>
        <v>1924.8646899075809</v>
      </c>
      <c r="E7" s="33">
        <f>$C$27*'E Balans VL '!I9/100/3.6*1000000</f>
        <v>83.801279262748679</v>
      </c>
      <c r="F7" s="33">
        <f>$C$27*('E Balans VL '!L9+'E Balans VL '!N9)/100/3.6*1000000</f>
        <v>428.95716625352065</v>
      </c>
      <c r="G7" s="34"/>
      <c r="H7" s="33"/>
      <c r="I7" s="33"/>
      <c r="J7" s="33">
        <f>$C$27*('E Balans VL '!D9+'E Balans VL '!E9)/100/3.6*1000000</f>
        <v>0</v>
      </c>
      <c r="K7" s="33"/>
      <c r="L7" s="33"/>
      <c r="M7" s="33"/>
      <c r="N7" s="33">
        <f>$C$27*'E Balans VL '!Y9/100/3.6*1000000</f>
        <v>0.51444245166840408</v>
      </c>
      <c r="O7" s="33"/>
      <c r="P7" s="33"/>
      <c r="R7" s="32"/>
    </row>
    <row r="8" spans="1:18">
      <c r="A8" s="6" t="s">
        <v>51</v>
      </c>
      <c r="B8" s="37">
        <f t="shared" si="0"/>
        <v>4130.7690000000002</v>
      </c>
      <c r="C8" s="33"/>
      <c r="D8" s="37">
        <f>IF(ISERROR(TER_handel_gas_kWh/1000),0,TER_handel_gas_kWh/1000)*0.902</f>
        <v>1123.9315899794435</v>
      </c>
      <c r="E8" s="33">
        <f>$C$28*'E Balans VL '!I13/100/3.6*1000000</f>
        <v>44.367897001309757</v>
      </c>
      <c r="F8" s="33">
        <f>$C$28*('E Balans VL '!L13+'E Balans VL '!N13)/100/3.6*1000000</f>
        <v>534.76215823720702</v>
      </c>
      <c r="G8" s="34"/>
      <c r="H8" s="33"/>
      <c r="I8" s="33"/>
      <c r="J8" s="33">
        <f>$C$28*('E Balans VL '!D13+'E Balans VL '!E13)/100/3.6*1000000</f>
        <v>0</v>
      </c>
      <c r="K8" s="33"/>
      <c r="L8" s="33"/>
      <c r="M8" s="33"/>
      <c r="N8" s="33">
        <f>$C$28*'E Balans VL '!Y13/100/3.6*1000000</f>
        <v>33.509023677794204</v>
      </c>
      <c r="O8" s="33"/>
      <c r="P8" s="33"/>
      <c r="R8" s="32"/>
    </row>
    <row r="9" spans="1:18">
      <c r="A9" s="32" t="s">
        <v>50</v>
      </c>
      <c r="B9" s="37">
        <f t="shared" si="0"/>
        <v>433.3021</v>
      </c>
      <c r="C9" s="33"/>
      <c r="D9" s="37">
        <f>IF(ISERROR(TER_gezond_gas_kWh/1000),0,TER_gezond_gas_kWh/1000)*0.902</f>
        <v>231.78792050064416</v>
      </c>
      <c r="E9" s="33">
        <f>$C$29*'E Balans VL '!I10/100/3.6*1000000</f>
        <v>0.3449364968290099</v>
      </c>
      <c r="F9" s="33">
        <f>$C$29*('E Balans VL '!L10+'E Balans VL '!N10)/100/3.6*1000000</f>
        <v>52.674132034346002</v>
      </c>
      <c r="G9" s="34"/>
      <c r="H9" s="33"/>
      <c r="I9" s="33"/>
      <c r="J9" s="33">
        <f>$C$29*('E Balans VL '!D10+'E Balans VL '!E10)/100/3.6*1000000</f>
        <v>0</v>
      </c>
      <c r="K9" s="33"/>
      <c r="L9" s="33"/>
      <c r="M9" s="33"/>
      <c r="N9" s="33">
        <f>$C$29*'E Balans VL '!Y10/100/3.6*1000000</f>
        <v>3.5000995679511178</v>
      </c>
      <c r="O9" s="33"/>
      <c r="P9" s="33"/>
      <c r="R9" s="32"/>
    </row>
    <row r="10" spans="1:18">
      <c r="A10" s="32" t="s">
        <v>49</v>
      </c>
      <c r="B10" s="37">
        <f t="shared" si="0"/>
        <v>1428.8219999999999</v>
      </c>
      <c r="C10" s="33"/>
      <c r="D10" s="37">
        <f>IF(ISERROR(TER_ander_gas_kWh/1000),0,TER_ander_gas_kWh/1000)*0.902</f>
        <v>1972.197997569293</v>
      </c>
      <c r="E10" s="33">
        <f>$C$30*'E Balans VL '!I14/100/3.6*1000000</f>
        <v>4.8966480546861533</v>
      </c>
      <c r="F10" s="33">
        <f>$C$30*('E Balans VL '!L14+'E Balans VL '!N14)/100/3.6*1000000</f>
        <v>319.14077431324222</v>
      </c>
      <c r="G10" s="34"/>
      <c r="H10" s="33"/>
      <c r="I10" s="33"/>
      <c r="J10" s="33">
        <f>$C$30*('E Balans VL '!D14+'E Balans VL '!E14)/100/3.6*1000000</f>
        <v>0</v>
      </c>
      <c r="K10" s="33"/>
      <c r="L10" s="33"/>
      <c r="M10" s="33"/>
      <c r="N10" s="33">
        <f>$C$30*'E Balans VL '!Y14/100/3.6*1000000</f>
        <v>1006.4700223020094</v>
      </c>
      <c r="O10" s="33"/>
      <c r="P10" s="33"/>
      <c r="R10" s="32"/>
    </row>
    <row r="11" spans="1:18">
      <c r="A11" s="32" t="s">
        <v>54</v>
      </c>
      <c r="B11" s="37">
        <f t="shared" si="0"/>
        <v>83.390679999999989</v>
      </c>
      <c r="C11" s="33"/>
      <c r="D11" s="37">
        <f>IF(ISERROR(TER_onderwijs_gas_kWh/1000),0,TER_onderwijs_gas_kWh/1000)*0.902</f>
        <v>193.32980077801247</v>
      </c>
      <c r="E11" s="33">
        <f>$C$31*'E Balans VL '!I11/100/3.6*1000000</f>
        <v>5.7645408853178939E-2</v>
      </c>
      <c r="F11" s="33">
        <f>$C$31*('E Balans VL '!L11+'E Balans VL '!N11)/100/3.6*1000000</f>
        <v>21.829257689105365</v>
      </c>
      <c r="G11" s="34"/>
      <c r="H11" s="33"/>
      <c r="I11" s="33"/>
      <c r="J11" s="33">
        <f>$C$31*('E Balans VL '!D11+'E Balans VL '!E11)/100/3.6*1000000</f>
        <v>0</v>
      </c>
      <c r="K11" s="33"/>
      <c r="L11" s="33"/>
      <c r="M11" s="33"/>
      <c r="N11" s="33">
        <f>$C$31*'E Balans VL '!Y11/100/3.6*1000000</f>
        <v>8.3008319275944042E-2</v>
      </c>
      <c r="O11" s="33"/>
      <c r="P11" s="33"/>
      <c r="R11" s="32"/>
    </row>
    <row r="12" spans="1:18">
      <c r="A12" s="32" t="s">
        <v>259</v>
      </c>
      <c r="B12" s="37">
        <f t="shared" si="0"/>
        <v>5852.0969999999998</v>
      </c>
      <c r="C12" s="33"/>
      <c r="D12" s="37">
        <f>IF(ISERROR(TER_rest_gas_kWh/1000),0,TER_rest_gas_kWh/1000)*0.902</f>
        <v>5567.5442441237974</v>
      </c>
      <c r="E12" s="33">
        <f>$C$32*'E Balans VL '!I8/100/3.6*1000000</f>
        <v>52.909688777753303</v>
      </c>
      <c r="F12" s="33">
        <f>$C$32*('E Balans VL '!L8+'E Balans VL '!N8)/100/3.6*1000000</f>
        <v>862.64620029958144</v>
      </c>
      <c r="G12" s="34"/>
      <c r="H12" s="33"/>
      <c r="I12" s="33"/>
      <c r="J12" s="33">
        <f>$C$32*('E Balans VL '!D8+'E Balans VL '!E8)/100/3.6*1000000</f>
        <v>0</v>
      </c>
      <c r="K12" s="33"/>
      <c r="L12" s="33"/>
      <c r="M12" s="33"/>
      <c r="N12" s="33">
        <f>$C$32*'E Balans VL '!Y8/100/3.6*1000000</f>
        <v>499.10559289809402</v>
      </c>
      <c r="O12" s="33"/>
      <c r="P12" s="33"/>
      <c r="R12" s="32"/>
    </row>
    <row r="13" spans="1:18">
      <c r="A13" s="16" t="s">
        <v>493</v>
      </c>
      <c r="B13" s="247">
        <f ca="1">'lokale energieproductie'!N38+'lokale energieproductie'!N31</f>
        <v>90</v>
      </c>
      <c r="C13" s="247">
        <f ca="1">'lokale energieproductie'!O38+'lokale energieproductie'!O31</f>
        <v>128.57142857142858</v>
      </c>
      <c r="D13" s="308">
        <f ca="1">('lokale energieproductie'!P31+'lokale energieproductie'!P38)*(-1)</f>
        <v>-257.14285714285717</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16843.38278</v>
      </c>
      <c r="C16" s="21">
        <f t="shared" ca="1" si="1"/>
        <v>128.57142857142858</v>
      </c>
      <c r="D16" s="21">
        <f t="shared" ca="1" si="1"/>
        <v>14195.833875804743</v>
      </c>
      <c r="E16" s="21">
        <f t="shared" si="1"/>
        <v>194.5731090739821</v>
      </c>
      <c r="F16" s="21">
        <f t="shared" ca="1" si="1"/>
        <v>2540.1505488356879</v>
      </c>
      <c r="G16" s="21">
        <f t="shared" si="1"/>
        <v>0</v>
      </c>
      <c r="H16" s="21">
        <f t="shared" si="1"/>
        <v>0</v>
      </c>
      <c r="I16" s="21">
        <f t="shared" si="1"/>
        <v>0</v>
      </c>
      <c r="J16" s="21">
        <f t="shared" si="1"/>
        <v>0</v>
      </c>
      <c r="K16" s="21">
        <f t="shared" si="1"/>
        <v>0</v>
      </c>
      <c r="L16" s="21">
        <f t="shared" ca="1" si="1"/>
        <v>0</v>
      </c>
      <c r="M16" s="21">
        <f t="shared" si="1"/>
        <v>0</v>
      </c>
      <c r="N16" s="21">
        <f t="shared" ca="1" si="1"/>
        <v>1571.4948914744143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0.20061432080587616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3379.0237964830903</v>
      </c>
      <c r="C20" s="23">
        <f t="shared" ref="C20:P20" ca="1" si="2">C16*C18</f>
        <v>30.554621848739504</v>
      </c>
      <c r="D20" s="23">
        <f t="shared" ca="1" si="2"/>
        <v>2867.5584429125583</v>
      </c>
      <c r="E20" s="23">
        <f t="shared" si="2"/>
        <v>44.168095759793935</v>
      </c>
      <c r="F20" s="23">
        <f t="shared" ca="1" si="2"/>
        <v>678.22019653912866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2828.65</v>
      </c>
      <c r="C26" s="39">
        <f>IF(ISERROR(B26*3.6/1000000/'E Balans VL '!Z12*100),0,B26*3.6/1000000/'E Balans VL '!Z12*100)</f>
        <v>6.2134567496873516E-2</v>
      </c>
      <c r="D26" s="237" t="s">
        <v>691</v>
      </c>
      <c r="F26" s="6"/>
    </row>
    <row r="27" spans="1:18">
      <c r="A27" s="231" t="s">
        <v>52</v>
      </c>
      <c r="B27" s="33">
        <f>IF(ISERROR(TER_horeca_ele_kWh/1000),0,TER_horeca_ele_kWh/1000)</f>
        <v>1996.3520000000001</v>
      </c>
      <c r="C27" s="39">
        <f>IF(ISERROR(B27*3.6/1000000/'E Balans VL '!Z9*100),0,B27*3.6/1000000/'E Balans VL '!Z9*100)</f>
        <v>0.16042678307177496</v>
      </c>
      <c r="D27" s="237" t="s">
        <v>691</v>
      </c>
      <c r="F27" s="6"/>
    </row>
    <row r="28" spans="1:18">
      <c r="A28" s="171" t="s">
        <v>51</v>
      </c>
      <c r="B28" s="33">
        <f>IF(ISERROR(TER_handel_ele_kWh/1000),0,TER_handel_ele_kWh/1000)</f>
        <v>4130.7690000000002</v>
      </c>
      <c r="C28" s="39">
        <f>IF(ISERROR(B28*3.6/1000000/'E Balans VL '!Z13*100),0,B28*3.6/1000000/'E Balans VL '!Z13*100)</f>
        <v>0.12214395351418438</v>
      </c>
      <c r="D28" s="237" t="s">
        <v>691</v>
      </c>
      <c r="F28" s="6"/>
    </row>
    <row r="29" spans="1:18">
      <c r="A29" s="231" t="s">
        <v>50</v>
      </c>
      <c r="B29" s="33">
        <f>IF(ISERROR(TER_gezond_ele_kWh/1000),0,TER_gezond_ele_kWh/1000)</f>
        <v>433.3021</v>
      </c>
      <c r="C29" s="39">
        <f>IF(ISERROR(B29*3.6/1000000/'E Balans VL '!Z10*100),0,B29*3.6/1000000/'E Balans VL '!Z10*100)</f>
        <v>4.8821959795903445E-2</v>
      </c>
      <c r="D29" s="237" t="s">
        <v>691</v>
      </c>
      <c r="F29" s="6"/>
    </row>
    <row r="30" spans="1:18">
      <c r="A30" s="231" t="s">
        <v>49</v>
      </c>
      <c r="B30" s="33">
        <f>IF(ISERROR(TER_ander_ele_kWh/1000),0,TER_ander_ele_kWh/1000)</f>
        <v>1428.8219999999999</v>
      </c>
      <c r="C30" s="39">
        <f>IF(ISERROR(B30*3.6/1000000/'E Balans VL '!Z14*100),0,B30*3.6/1000000/'E Balans VL '!Z14*100)</f>
        <v>0.1080593653991171</v>
      </c>
      <c r="D30" s="237" t="s">
        <v>691</v>
      </c>
      <c r="F30" s="6"/>
    </row>
    <row r="31" spans="1:18">
      <c r="A31" s="231" t="s">
        <v>54</v>
      </c>
      <c r="B31" s="33">
        <f>IF(ISERROR(TER_onderwijs_ele_kWh/1000),0,TER_onderwijs_ele_kWh/1000)</f>
        <v>83.390679999999989</v>
      </c>
      <c r="C31" s="39">
        <f>IF(ISERROR(B31*3.6/1000000/'E Balans VL '!Z11*100),0,B31*3.6/1000000/'E Balans VL '!Z11*100)</f>
        <v>1.7309969336469864E-2</v>
      </c>
      <c r="D31" s="237" t="s">
        <v>691</v>
      </c>
    </row>
    <row r="32" spans="1:18">
      <c r="A32" s="231" t="s">
        <v>259</v>
      </c>
      <c r="B32" s="33">
        <f>IF(ISERROR(TER_rest_ele_kWh/1000),0,TER_rest_ele_kWh/1000)</f>
        <v>5852.0969999999998</v>
      </c>
      <c r="C32" s="39">
        <f>IF(ISERROR(B32*3.6/1000000/'E Balans VL '!Z8*100),0,B32*3.6/1000000/'E Balans VL '!Z8*100)</f>
        <v>4.9300474552919762E-2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2356.1268</v>
      </c>
      <c r="C5" s="17">
        <f>IF(ISERROR('Eigen informatie GS &amp; warmtenet'!B59),0,'Eigen informatie GS &amp; warmtenet'!B59)</f>
        <v>0</v>
      </c>
      <c r="D5" s="30">
        <f>SUM(D6:D15)</f>
        <v>1195.2080164399508</v>
      </c>
      <c r="E5" s="17">
        <f>SUM(E6:E15)</f>
        <v>201.2282562382199</v>
      </c>
      <c r="F5" s="17">
        <f>SUM(F6:F15)</f>
        <v>1879.3733749562628</v>
      </c>
      <c r="G5" s="18"/>
      <c r="H5" s="17"/>
      <c r="I5" s="17"/>
      <c r="J5" s="17">
        <f>SUM(J6:J15)</f>
        <v>19.685281697729241</v>
      </c>
      <c r="K5" s="17"/>
      <c r="L5" s="17"/>
      <c r="M5" s="17"/>
      <c r="N5" s="17">
        <f>SUM(N6:N15)</f>
        <v>436.28523959706195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148.7893</v>
      </c>
      <c r="C8" s="33"/>
      <c r="D8" s="37">
        <f>IF( ISERROR(IND_metaal_Gas_kWH/1000),0,IND_metaal_Gas_kWH/1000)*0.902</f>
        <v>0</v>
      </c>
      <c r="E8" s="33">
        <f>C30*'E Balans VL '!I18/100/3.6*1000000</f>
        <v>3.7236754276063717</v>
      </c>
      <c r="F8" s="33">
        <f>C30*'E Balans VL '!L18/100/3.6*1000000+C30*'E Balans VL '!N18/100/3.6*1000000</f>
        <v>46.63130673604087</v>
      </c>
      <c r="G8" s="34"/>
      <c r="H8" s="33"/>
      <c r="I8" s="33"/>
      <c r="J8" s="40">
        <f>C30*'E Balans VL '!D18/100/3.6*1000000+C30*'E Balans VL '!E18/100/3.6*1000000</f>
        <v>0</v>
      </c>
      <c r="K8" s="33"/>
      <c r="L8" s="33"/>
      <c r="M8" s="33"/>
      <c r="N8" s="33">
        <f>C30*'E Balans VL '!Y18/100/3.6*1000000</f>
        <v>3.737973357905334</v>
      </c>
      <c r="O8" s="33"/>
      <c r="P8" s="33"/>
      <c r="R8" s="32"/>
    </row>
    <row r="9" spans="1:18">
      <c r="A9" s="6" t="s">
        <v>32</v>
      </c>
      <c r="B9" s="37">
        <f t="shared" si="0"/>
        <v>495.24450000000002</v>
      </c>
      <c r="C9" s="33"/>
      <c r="D9" s="37">
        <f>IF( ISERROR(IND_andere_gas_kWh/1000),0,IND_andere_gas_kWh/1000)*0.902</f>
        <v>310.34987858873092</v>
      </c>
      <c r="E9" s="33">
        <f>C31*'E Balans VL '!I19/100/3.6*1000000</f>
        <v>136.17192501929978</v>
      </c>
      <c r="F9" s="33">
        <f>C31*'E Balans VL '!L19/100/3.6*1000000+C31*'E Balans VL '!N19/100/3.6*1000000</f>
        <v>390.33884473045703</v>
      </c>
      <c r="G9" s="34"/>
      <c r="H9" s="33"/>
      <c r="I9" s="33"/>
      <c r="J9" s="40">
        <f>C31*'E Balans VL '!D19/100/3.6*1000000+C31*'E Balans VL '!E19/100/3.6*1000000</f>
        <v>0</v>
      </c>
      <c r="K9" s="33"/>
      <c r="L9" s="33"/>
      <c r="M9" s="33"/>
      <c r="N9" s="33">
        <f>C31*'E Balans VL '!Y19/100/3.6*1000000</f>
        <v>39.897209001032202</v>
      </c>
      <c r="O9" s="33"/>
      <c r="P9" s="33"/>
      <c r="R9" s="32"/>
    </row>
    <row r="10" spans="1:18">
      <c r="A10" s="6" t="s">
        <v>40</v>
      </c>
      <c r="B10" s="37">
        <f t="shared" si="0"/>
        <v>633.42399999999998</v>
      </c>
      <c r="C10" s="33"/>
      <c r="D10" s="37">
        <f>IF( ISERROR(IND_voed_gas_kWh/1000),0,IND_voed_gas_kWh/1000)*0.902</f>
        <v>245.43380844128313</v>
      </c>
      <c r="E10" s="33">
        <f>C32*'E Balans VL '!I20/100/3.6*1000000</f>
        <v>6.4574087247272525</v>
      </c>
      <c r="F10" s="33">
        <f>C32*'E Balans VL '!L20/100/3.6*1000000+C32*'E Balans VL '!N20/100/3.6*1000000</f>
        <v>1196.5339743153049</v>
      </c>
      <c r="G10" s="34"/>
      <c r="H10" s="33"/>
      <c r="I10" s="33"/>
      <c r="J10" s="40">
        <f>C32*'E Balans VL '!D20/100/3.6*1000000+C32*'E Balans VL '!E20/100/3.6*1000000</f>
        <v>15.159908892711359</v>
      </c>
      <c r="K10" s="33"/>
      <c r="L10" s="33"/>
      <c r="M10" s="33"/>
      <c r="N10" s="33">
        <f>C32*'E Balans VL '!Y20/100/3.6*1000000</f>
        <v>333.88740949800086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1078.6690000000001</v>
      </c>
      <c r="C15" s="33"/>
      <c r="D15" s="37">
        <f>IF( ISERROR(IND_rest_gas_kWh/1000),0,IND_rest_gas_kWh/1000)*0.902</f>
        <v>639.42432940993683</v>
      </c>
      <c r="E15" s="33">
        <f>C37*'E Balans VL '!I15/100/3.6*1000000</f>
        <v>54.875247066586503</v>
      </c>
      <c r="F15" s="33">
        <f>C37*'E Balans VL '!L15/100/3.6*1000000+C37*'E Balans VL '!N15/100/3.6*1000000</f>
        <v>245.86924917445984</v>
      </c>
      <c r="G15" s="34"/>
      <c r="H15" s="33"/>
      <c r="I15" s="33"/>
      <c r="J15" s="40">
        <f>C37*'E Balans VL '!D15/100/3.6*1000000+C37*'E Balans VL '!E15/100/3.6*1000000</f>
        <v>4.5253728050178816</v>
      </c>
      <c r="K15" s="33"/>
      <c r="L15" s="33"/>
      <c r="M15" s="33"/>
      <c r="N15" s="33">
        <f>C37*'E Balans VL '!Y15/100/3.6*1000000</f>
        <v>58.762647740123569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2356.1268</v>
      </c>
      <c r="C18" s="21">
        <f>C5+C16</f>
        <v>0</v>
      </c>
      <c r="D18" s="21">
        <f>MAX((D5+D16),0)</f>
        <v>1195.2080164399508</v>
      </c>
      <c r="E18" s="21">
        <f>MAX((E5+E16),0)</f>
        <v>201.2282562382199</v>
      </c>
      <c r="F18" s="21">
        <f>MAX((F5+F16),0)</f>
        <v>1879.3733749562628</v>
      </c>
      <c r="G18" s="21"/>
      <c r="H18" s="21"/>
      <c r="I18" s="21"/>
      <c r="J18" s="21">
        <f>MAX((J5+J16),0)</f>
        <v>19.685281697729241</v>
      </c>
      <c r="K18" s="21"/>
      <c r="L18" s="21">
        <f>MAX((L5+L16),0)</f>
        <v>0</v>
      </c>
      <c r="M18" s="21"/>
      <c r="N18" s="21">
        <f>MAX((N5+N16),0)</f>
        <v>436.28523959706195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0.20061432080587616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472.6727777145224</v>
      </c>
      <c r="C22" s="23">
        <f ca="1">C18*C20</f>
        <v>0</v>
      </c>
      <c r="D22" s="23">
        <f>D18*D20</f>
        <v>241.43201932087007</v>
      </c>
      <c r="E22" s="23">
        <f>E18*E20</f>
        <v>45.678814166075917</v>
      </c>
      <c r="F22" s="23">
        <f>F18*F20</f>
        <v>501.79269111332218</v>
      </c>
      <c r="G22" s="23"/>
      <c r="H22" s="23"/>
      <c r="I22" s="23"/>
      <c r="J22" s="23">
        <f>J18*J20</f>
        <v>6.9685897209961514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148.7893</v>
      </c>
      <c r="C30" s="39">
        <f>IF(ISERROR(B30*3.6/1000000/'E Balans VL '!Z18*100),0,B30*3.6/1000000/'E Balans VL '!Z18*100)</f>
        <v>2.0825543541799902E-2</v>
      </c>
      <c r="D30" s="237" t="s">
        <v>691</v>
      </c>
    </row>
    <row r="31" spans="1:18">
      <c r="A31" s="6" t="s">
        <v>32</v>
      </c>
      <c r="B31" s="37">
        <f>IF( ISERROR(IND_ander_ele_kWh/1000),0,IND_ander_ele_kWh/1000)</f>
        <v>495.24450000000002</v>
      </c>
      <c r="C31" s="39">
        <f>IF(ISERROR(B31*3.6/1000000/'E Balans VL '!Z19*100),0,B31*3.6/1000000/'E Balans VL '!Z19*100)</f>
        <v>2.1676771424927837E-2</v>
      </c>
      <c r="D31" s="237" t="s">
        <v>691</v>
      </c>
    </row>
    <row r="32" spans="1:18">
      <c r="A32" s="171" t="s">
        <v>40</v>
      </c>
      <c r="B32" s="37">
        <f>IF( ISERROR(IND_voed_ele_kWh/1000),0,IND_voed_ele_kWh/1000)</f>
        <v>633.42399999999998</v>
      </c>
      <c r="C32" s="39">
        <f>IF(ISERROR(B32*3.6/1000000/'E Balans VL '!Z20*100),0,B32*3.6/1000000/'E Balans VL '!Z20*100)</f>
        <v>0.15681474742652016</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1078.6690000000001</v>
      </c>
      <c r="C37" s="39">
        <f>IF(ISERROR(B37*3.6/1000000/'E Balans VL '!Z15*100),0,B37*3.6/1000000/'E Balans VL '!Z15*100)</f>
        <v>7.9981459590523704E-3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739.27</v>
      </c>
      <c r="C5" s="17">
        <f>'Eigen informatie GS &amp; warmtenet'!B60</f>
        <v>0</v>
      </c>
      <c r="D5" s="30">
        <f>IF(ISERROR(SUM(LB_lb_gas_kWh,LB_rest_gas_kWh)/1000),0,SUM(LB_lb_gas_kWh,LB_rest_gas_kWh)/1000)*0.902</f>
        <v>1154.1682150075326</v>
      </c>
      <c r="E5" s="17">
        <f>B17*'E Balans VL '!I25/3.6*1000000/100</f>
        <v>6.8474283747382181</v>
      </c>
      <c r="F5" s="17">
        <f>B17*('E Balans VL '!L25/3.6*1000000+'E Balans VL '!N25/3.6*1000000)/100</f>
        <v>1875.6688207904765</v>
      </c>
      <c r="G5" s="18"/>
      <c r="H5" s="17"/>
      <c r="I5" s="17"/>
      <c r="J5" s="17">
        <f>('E Balans VL '!D25+'E Balans VL '!E25)/3.6*1000000*landbouw!B17/100</f>
        <v>113.3383412772792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739.27</v>
      </c>
      <c r="C8" s="21">
        <f>C5+C6</f>
        <v>0</v>
      </c>
      <c r="D8" s="21">
        <f>MAX((D5+D6),0)</f>
        <v>1154.1682150075326</v>
      </c>
      <c r="E8" s="21">
        <f>MAX((E5+E6),0)</f>
        <v>6.8474283747382181</v>
      </c>
      <c r="F8" s="21">
        <f>MAX((F5+F6),0)</f>
        <v>1875.6688207904765</v>
      </c>
      <c r="G8" s="21"/>
      <c r="H8" s="21"/>
      <c r="I8" s="21"/>
      <c r="J8" s="21">
        <f>MAX((J5+J6),0)</f>
        <v>113.3383412772792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0.20061432080587616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148.30814894216007</v>
      </c>
      <c r="C12" s="23">
        <f ca="1">C8*C10</f>
        <v>0</v>
      </c>
      <c r="D12" s="23">
        <f>D8*D10</f>
        <v>233.14197943152161</v>
      </c>
      <c r="E12" s="23">
        <f>E8*E10</f>
        <v>1.5543662410655756</v>
      </c>
      <c r="F12" s="23">
        <f>F8*F10</f>
        <v>500.80357515105726</v>
      </c>
      <c r="G12" s="23"/>
      <c r="H12" s="23"/>
      <c r="I12" s="23"/>
      <c r="J12" s="23">
        <f>J8*J10</f>
        <v>40.121772812156834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0.10510851876655046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139.53655609551791</v>
      </c>
      <c r="C26" s="247">
        <f>B26*'GWP N2O_CH4'!B5</f>
        <v>2930.267678005876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37.444768032628261</v>
      </c>
      <c r="C27" s="247">
        <f>B27*'GWP N2O_CH4'!B5</f>
        <v>786.34012868519346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1.7108015013206681</v>
      </c>
      <c r="C28" s="247">
        <f>B28*'GWP N2O_CH4'!B4</f>
        <v>530.34846540940714</v>
      </c>
      <c r="D28" s="50"/>
    </row>
    <row r="29" spans="1:4">
      <c r="A29" s="41" t="s">
        <v>276</v>
      </c>
      <c r="B29" s="247">
        <f>B34*'ha_N2O bodem landbouw'!B4</f>
        <v>11.445611978182034</v>
      </c>
      <c r="C29" s="247">
        <f>B29*'GWP N2O_CH4'!B4</f>
        <v>3548.1397132364309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2.5670491258076777E-3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4.1574643643351093E-5</v>
      </c>
      <c r="C5" s="438" t="s">
        <v>210</v>
      </c>
      <c r="D5" s="423">
        <f>SUM(D6:D11)</f>
        <v>9.3310575400606217E-5</v>
      </c>
      <c r="E5" s="423">
        <f>SUM(E6:E11)</f>
        <v>8.9834748729692273E-4</v>
      </c>
      <c r="F5" s="436" t="s">
        <v>210</v>
      </c>
      <c r="G5" s="423">
        <f>SUM(G6:G11)</f>
        <v>0.27413652667548205</v>
      </c>
      <c r="H5" s="423">
        <f>SUM(H6:H11)</f>
        <v>5.6336644149921879E-2</v>
      </c>
      <c r="I5" s="438" t="s">
        <v>210</v>
      </c>
      <c r="J5" s="438" t="s">
        <v>210</v>
      </c>
      <c r="K5" s="438" t="s">
        <v>210</v>
      </c>
      <c r="L5" s="438" t="s">
        <v>210</v>
      </c>
      <c r="M5" s="423">
        <f>SUM(M6:M11)</f>
        <v>1.7612084096058432E-2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2.0132814745501198E-5</v>
      </c>
      <c r="C6" s="424"/>
      <c r="D6" s="866">
        <f>vkm_GW_PW*SUMIFS(TableVerdeelsleutelVkm[CNG],TableVerdeelsleutelVkm[Voertuigtype],"Lichte voertuigen")*SUMIFS(TableECFTransport[EnergieConsumptieFactor (PJ per km)],TableECFTransport[Index],CONCATENATE($A6,"_CNG_CNG"))</f>
        <v>3.5131449417470069E-5</v>
      </c>
      <c r="E6" s="866">
        <f>vkm_GW_PW*SUMIFS(TableVerdeelsleutelVkm[LPG],TableVerdeelsleutelVkm[Voertuigtype],"Lichte voertuigen")*SUMIFS(TableECFTransport[EnergieConsumptieFactor (PJ per km)],TableECFTransport[Index],CONCATENATE($A6,"_LPG_LPG"))</f>
        <v>3.4026535725321938E-4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7.9968213877718644E-2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2.1514297171557846E-2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5.2925770880420621E-3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3.9357166404541476E-2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7.6326055752353214E-7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2.2818395310874027E-3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1.6618435815017398E-5</v>
      </c>
      <c r="C8" s="424"/>
      <c r="D8" s="426">
        <f>vkm_NGW_PW*SUMIFS(TableVerdeelsleutelVkm[CNG],TableVerdeelsleutelVkm[Voertuigtype],"Lichte voertuigen")*SUMIFS(TableECFTransport[EnergieConsumptieFactor (PJ per km)],TableECFTransport[Index],CONCATENATE($A8,"_CNG_CNG"))</f>
        <v>4.9656743406295704E-5</v>
      </c>
      <c r="E8" s="426">
        <f>vkm_NGW_PW*SUMIFS(TableVerdeelsleutelVkm[LPG],TableVerdeelsleutelVkm[Voertuigtype],"Lichte voertuigen")*SUMIFS(TableECFTransport[EnergieConsumptieFactor (PJ per km)],TableECFTransport[Index],CONCATENATE($A8,"_LPG_LPG"))</f>
        <v>4.5514904350325673E-4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0.1004066999993856</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2.9361669707719383E-2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6.7169097217767842E-3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2.0562815807530953E-2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4.9395556160661122E-7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1.1921884761396091E-3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4.8233930828324999E-6</v>
      </c>
      <c r="C10" s="424"/>
      <c r="D10" s="426">
        <f>vkm_SW_PW*SUMIFS(TableVerdeelsleutelVkm[CNG],TableVerdeelsleutelVkm[Voertuigtype],"Lichte voertuigen")*SUMIFS(TableECFTransport[EnergieConsumptieFactor (PJ per km)],TableECFTransport[Index],CONCATENATE($A10,"_CNG_CNG"))</f>
        <v>8.5223825768404458E-6</v>
      </c>
      <c r="E10" s="426">
        <f>vkm_SW_PW*SUMIFS(TableVerdeelsleutelVkm[LPG],TableVerdeelsleutelVkm[Voertuigtype],"Lichte voertuigen")*SUMIFS(TableECFTransport[EnergieConsumptieFactor (PJ per km)],TableECFTransport[Index],CONCATENATE($A10,"_LPG_LPG"))</f>
        <v>1.0293308654044659E-4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2.1751931345316087E-2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5.4591709364508832E-3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1.4276354017263291E-3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1.20896992409893E-2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2.4911807463833292E-7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7.0093387728624305E-4</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11.548512123153081</v>
      </c>
      <c r="C14" s="21"/>
      <c r="D14" s="21">
        <f t="shared" ref="D14:M14" si="0">((D5)*10^9/3600)+D12</f>
        <v>25.919604277946171</v>
      </c>
      <c r="E14" s="21">
        <f t="shared" si="0"/>
        <v>249.54096869358963</v>
      </c>
      <c r="F14" s="21"/>
      <c r="G14" s="21">
        <f t="shared" si="0"/>
        <v>76149.035187633897</v>
      </c>
      <c r="H14" s="21">
        <f t="shared" si="0"/>
        <v>15649.067819422744</v>
      </c>
      <c r="I14" s="21"/>
      <c r="J14" s="21"/>
      <c r="K14" s="21"/>
      <c r="L14" s="21"/>
      <c r="M14" s="21">
        <f t="shared" si="0"/>
        <v>4892.2455822384536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0.20061432080587616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2.3167969159047823</v>
      </c>
      <c r="C18" s="23"/>
      <c r="D18" s="23">
        <f t="shared" ref="D18:M18" si="1">D14*D16</f>
        <v>5.2357600641451265</v>
      </c>
      <c r="E18" s="23">
        <f t="shared" si="1"/>
        <v>56.645799893444845</v>
      </c>
      <c r="F18" s="23"/>
      <c r="G18" s="23">
        <f t="shared" si="1"/>
        <v>20331.792395098251</v>
      </c>
      <c r="H18" s="23">
        <f t="shared" si="1"/>
        <v>3896.6178870362633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3.6948602934862972E-3</v>
      </c>
      <c r="H50" s="319">
        <f t="shared" si="2"/>
        <v>0</v>
      </c>
      <c r="I50" s="319">
        <f t="shared" si="2"/>
        <v>0</v>
      </c>
      <c r="J50" s="319">
        <f t="shared" si="2"/>
        <v>0</v>
      </c>
      <c r="K50" s="319">
        <f t="shared" si="2"/>
        <v>0</v>
      </c>
      <c r="L50" s="319">
        <f t="shared" si="2"/>
        <v>0</v>
      </c>
      <c r="M50" s="319">
        <f t="shared" si="2"/>
        <v>2.1118696830025148E-4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3.6948602934862972E-3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2.1118696830025148E-4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1026.3500815239713</v>
      </c>
      <c r="H54" s="21">
        <f t="shared" si="3"/>
        <v>0</v>
      </c>
      <c r="I54" s="21">
        <f t="shared" si="3"/>
        <v>0</v>
      </c>
      <c r="J54" s="21">
        <f t="shared" si="3"/>
        <v>0</v>
      </c>
      <c r="K54" s="21">
        <f t="shared" si="3"/>
        <v>0</v>
      </c>
      <c r="L54" s="21">
        <f t="shared" si="3"/>
        <v>0</v>
      </c>
      <c r="M54" s="21">
        <f t="shared" si="3"/>
        <v>58.66304675006986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0.20061432080587616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274.03547176690034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18245.905780000001</v>
      </c>
      <c r="D10" s="991">
        <f ca="1">tertiair!C16</f>
        <v>128.57142857142858</v>
      </c>
      <c r="E10" s="991">
        <f ca="1">tertiair!D16</f>
        <v>14195.833875804743</v>
      </c>
      <c r="F10" s="991">
        <f>tertiair!E16</f>
        <v>194.5731090739821</v>
      </c>
      <c r="G10" s="991">
        <f ca="1">tertiair!F16</f>
        <v>2540.1505488356879</v>
      </c>
      <c r="H10" s="991">
        <f>tertiair!G16</f>
        <v>0</v>
      </c>
      <c r="I10" s="991">
        <f>tertiair!H16</f>
        <v>0</v>
      </c>
      <c r="J10" s="991">
        <f>tertiair!I16</f>
        <v>0</v>
      </c>
      <c r="K10" s="991">
        <f>tertiair!J16</f>
        <v>0</v>
      </c>
      <c r="L10" s="991">
        <f>tertiair!K16</f>
        <v>0</v>
      </c>
      <c r="M10" s="991">
        <f ca="1">tertiair!L16</f>
        <v>0</v>
      </c>
      <c r="N10" s="991">
        <f>tertiair!M16</f>
        <v>0</v>
      </c>
      <c r="O10" s="991">
        <f ca="1">tertiair!N16</f>
        <v>1571.4948914744143</v>
      </c>
      <c r="P10" s="991">
        <f>tertiair!O16</f>
        <v>3.1266666666666669</v>
      </c>
      <c r="Q10" s="992">
        <f>tertiair!P16</f>
        <v>57.2</v>
      </c>
      <c r="R10" s="675">
        <f ca="1">SUM(C10:Q10)</f>
        <v>36936.856300426916</v>
      </c>
      <c r="S10" s="67"/>
    </row>
    <row r="11" spans="1:19" s="448" customFormat="1">
      <c r="A11" s="784" t="s">
        <v>224</v>
      </c>
      <c r="B11" s="789"/>
      <c r="C11" s="991">
        <f>huishoudens!B8</f>
        <v>42347.717690475896</v>
      </c>
      <c r="D11" s="991">
        <f>huishoudens!C8</f>
        <v>0</v>
      </c>
      <c r="E11" s="991">
        <f>huishoudens!D8</f>
        <v>45284.933275789881</v>
      </c>
      <c r="F11" s="991">
        <f>huishoudens!E8</f>
        <v>26060.247491642105</v>
      </c>
      <c r="G11" s="991">
        <f>huishoudens!F8</f>
        <v>103342.01621770997</v>
      </c>
      <c r="H11" s="991">
        <f>huishoudens!G8</f>
        <v>0</v>
      </c>
      <c r="I11" s="991">
        <f>huishoudens!H8</f>
        <v>0</v>
      </c>
      <c r="J11" s="991">
        <f>huishoudens!I8</f>
        <v>0</v>
      </c>
      <c r="K11" s="991">
        <f>huishoudens!J8</f>
        <v>0</v>
      </c>
      <c r="L11" s="991">
        <f>huishoudens!K8</f>
        <v>0</v>
      </c>
      <c r="M11" s="991">
        <f>huishoudens!L8</f>
        <v>0</v>
      </c>
      <c r="N11" s="991">
        <f>huishoudens!M8</f>
        <v>0</v>
      </c>
      <c r="O11" s="991">
        <f>huishoudens!N8</f>
        <v>9251.7656501203182</v>
      </c>
      <c r="P11" s="991">
        <f>huishoudens!O8</f>
        <v>312.66666666666669</v>
      </c>
      <c r="Q11" s="992">
        <f>huishoudens!P8</f>
        <v>877.06666666666661</v>
      </c>
      <c r="R11" s="675">
        <f>SUM(C11:Q11)</f>
        <v>227476.41365907152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2356.1268</v>
      </c>
      <c r="D13" s="991">
        <f>industrie!C18</f>
        <v>0</v>
      </c>
      <c r="E13" s="991">
        <f>industrie!D18</f>
        <v>1195.2080164399508</v>
      </c>
      <c r="F13" s="991">
        <f>industrie!E18</f>
        <v>201.2282562382199</v>
      </c>
      <c r="G13" s="991">
        <f>industrie!F18</f>
        <v>1879.3733749562628</v>
      </c>
      <c r="H13" s="991">
        <f>industrie!G18</f>
        <v>0</v>
      </c>
      <c r="I13" s="991">
        <f>industrie!H18</f>
        <v>0</v>
      </c>
      <c r="J13" s="991">
        <f>industrie!I18</f>
        <v>0</v>
      </c>
      <c r="K13" s="991">
        <f>industrie!J18</f>
        <v>19.685281697729241</v>
      </c>
      <c r="L13" s="991">
        <f>industrie!K18</f>
        <v>0</v>
      </c>
      <c r="M13" s="991">
        <f>industrie!L18</f>
        <v>0</v>
      </c>
      <c r="N13" s="991">
        <f>industrie!M18</f>
        <v>0</v>
      </c>
      <c r="O13" s="991">
        <f>industrie!N18</f>
        <v>436.28523959706195</v>
      </c>
      <c r="P13" s="991">
        <f>industrie!O18</f>
        <v>0</v>
      </c>
      <c r="Q13" s="992">
        <f>industrie!P18</f>
        <v>0</v>
      </c>
      <c r="R13" s="675">
        <f>SUM(C13:Q13)</f>
        <v>6087.9069689292246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62949.750270475895</v>
      </c>
      <c r="D16" s="707">
        <f t="shared" ref="D16:R16" ca="1" si="0">SUM(D9:D15)</f>
        <v>128.57142857142858</v>
      </c>
      <c r="E16" s="707">
        <f t="shared" ca="1" si="0"/>
        <v>60675.97516803458</v>
      </c>
      <c r="F16" s="707">
        <f t="shared" si="0"/>
        <v>26456.048856954309</v>
      </c>
      <c r="G16" s="707">
        <f t="shared" ca="1" si="0"/>
        <v>107761.54014150193</v>
      </c>
      <c r="H16" s="707">
        <f t="shared" si="0"/>
        <v>0</v>
      </c>
      <c r="I16" s="707">
        <f t="shared" si="0"/>
        <v>0</v>
      </c>
      <c r="J16" s="707">
        <f t="shared" si="0"/>
        <v>0</v>
      </c>
      <c r="K16" s="707">
        <f t="shared" si="0"/>
        <v>19.685281697729241</v>
      </c>
      <c r="L16" s="707">
        <f t="shared" si="0"/>
        <v>0</v>
      </c>
      <c r="M16" s="707">
        <f t="shared" ca="1" si="0"/>
        <v>0</v>
      </c>
      <c r="N16" s="707">
        <f t="shared" si="0"/>
        <v>0</v>
      </c>
      <c r="O16" s="707">
        <f t="shared" ca="1" si="0"/>
        <v>11259.545781191795</v>
      </c>
      <c r="P16" s="707">
        <f t="shared" si="0"/>
        <v>315.79333333333335</v>
      </c>
      <c r="Q16" s="707">
        <f t="shared" si="0"/>
        <v>934.26666666666665</v>
      </c>
      <c r="R16" s="707">
        <f t="shared" ca="1" si="0"/>
        <v>270501.17692842765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1026.3500815239713</v>
      </c>
      <c r="I19" s="991">
        <f>transport!H54</f>
        <v>0</v>
      </c>
      <c r="J19" s="991">
        <f>transport!I54</f>
        <v>0</v>
      </c>
      <c r="K19" s="991">
        <f>transport!J54</f>
        <v>0</v>
      </c>
      <c r="L19" s="991">
        <f>transport!K54</f>
        <v>0</v>
      </c>
      <c r="M19" s="991">
        <f>transport!L54</f>
        <v>0</v>
      </c>
      <c r="N19" s="991">
        <f>transport!M54</f>
        <v>58.66304675006986</v>
      </c>
      <c r="O19" s="991">
        <f>transport!N54</f>
        <v>0</v>
      </c>
      <c r="P19" s="991">
        <f>transport!O54</f>
        <v>0</v>
      </c>
      <c r="Q19" s="992">
        <f>transport!P54</f>
        <v>0</v>
      </c>
      <c r="R19" s="675">
        <f>SUM(C19:Q19)</f>
        <v>1085.0131282740413</v>
      </c>
      <c r="S19" s="67"/>
    </row>
    <row r="20" spans="1:19" s="448" customFormat="1">
      <c r="A20" s="784" t="s">
        <v>306</v>
      </c>
      <c r="B20" s="789"/>
      <c r="C20" s="991">
        <f>transport!B14</f>
        <v>11.548512123153081</v>
      </c>
      <c r="D20" s="991">
        <f>transport!C14</f>
        <v>0</v>
      </c>
      <c r="E20" s="991">
        <f>transport!D14</f>
        <v>25.919604277946171</v>
      </c>
      <c r="F20" s="991">
        <f>transport!E14</f>
        <v>249.54096869358963</v>
      </c>
      <c r="G20" s="991">
        <f>transport!F14</f>
        <v>0</v>
      </c>
      <c r="H20" s="991">
        <f>transport!G14</f>
        <v>76149.035187633897</v>
      </c>
      <c r="I20" s="991">
        <f>transport!H14</f>
        <v>15649.067819422744</v>
      </c>
      <c r="J20" s="991">
        <f>transport!I14</f>
        <v>0</v>
      </c>
      <c r="K20" s="991">
        <f>transport!J14</f>
        <v>0</v>
      </c>
      <c r="L20" s="991">
        <f>transport!K14</f>
        <v>0</v>
      </c>
      <c r="M20" s="991">
        <f>transport!L14</f>
        <v>0</v>
      </c>
      <c r="N20" s="991">
        <f>transport!M14</f>
        <v>4892.2455822384536</v>
      </c>
      <c r="O20" s="991">
        <f>transport!N14</f>
        <v>0</v>
      </c>
      <c r="P20" s="991">
        <f>transport!O14</f>
        <v>0</v>
      </c>
      <c r="Q20" s="992">
        <f>transport!P14</f>
        <v>0</v>
      </c>
      <c r="R20" s="675">
        <f>SUM(C20:Q20)</f>
        <v>96977.357674389787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11.548512123153081</v>
      </c>
      <c r="D22" s="787">
        <f t="shared" ref="D22:R22" si="1">SUM(D18:D21)</f>
        <v>0</v>
      </c>
      <c r="E22" s="787">
        <f t="shared" si="1"/>
        <v>25.919604277946171</v>
      </c>
      <c r="F22" s="787">
        <f t="shared" si="1"/>
        <v>249.54096869358963</v>
      </c>
      <c r="G22" s="787">
        <f t="shared" si="1"/>
        <v>0</v>
      </c>
      <c r="H22" s="787">
        <f t="shared" si="1"/>
        <v>77175.385269157865</v>
      </c>
      <c r="I22" s="787">
        <f t="shared" si="1"/>
        <v>15649.067819422744</v>
      </c>
      <c r="J22" s="787">
        <f t="shared" si="1"/>
        <v>0</v>
      </c>
      <c r="K22" s="787">
        <f t="shared" si="1"/>
        <v>0</v>
      </c>
      <c r="L22" s="787">
        <f t="shared" si="1"/>
        <v>0</v>
      </c>
      <c r="M22" s="787">
        <f t="shared" si="1"/>
        <v>0</v>
      </c>
      <c r="N22" s="787">
        <f t="shared" si="1"/>
        <v>4950.9086289885236</v>
      </c>
      <c r="O22" s="787">
        <f t="shared" si="1"/>
        <v>0</v>
      </c>
      <c r="P22" s="787">
        <f t="shared" si="1"/>
        <v>0</v>
      </c>
      <c r="Q22" s="787">
        <f t="shared" si="1"/>
        <v>0</v>
      </c>
      <c r="R22" s="787">
        <f t="shared" si="1"/>
        <v>98062.370802663834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739.27</v>
      </c>
      <c r="D24" s="991">
        <f>+landbouw!C8</f>
        <v>0</v>
      </c>
      <c r="E24" s="991">
        <f>+landbouw!D8</f>
        <v>1154.1682150075326</v>
      </c>
      <c r="F24" s="991">
        <f>+landbouw!E8</f>
        <v>6.8474283747382181</v>
      </c>
      <c r="G24" s="991">
        <f>+landbouw!F8</f>
        <v>1875.6688207904765</v>
      </c>
      <c r="H24" s="991">
        <f>+landbouw!G8</f>
        <v>0</v>
      </c>
      <c r="I24" s="991">
        <f>+landbouw!H8</f>
        <v>0</v>
      </c>
      <c r="J24" s="991">
        <f>+landbouw!I8</f>
        <v>0</v>
      </c>
      <c r="K24" s="991">
        <f>+landbouw!J8</f>
        <v>113.3383412772792</v>
      </c>
      <c r="L24" s="991">
        <f>+landbouw!K8</f>
        <v>0</v>
      </c>
      <c r="M24" s="991">
        <f>+landbouw!L8</f>
        <v>0</v>
      </c>
      <c r="N24" s="991">
        <f>+landbouw!M8</f>
        <v>0</v>
      </c>
      <c r="O24" s="991">
        <f>+landbouw!N8</f>
        <v>0</v>
      </c>
      <c r="P24" s="991">
        <f>+landbouw!O8</f>
        <v>0</v>
      </c>
      <c r="Q24" s="992">
        <f>+landbouw!P8</f>
        <v>0</v>
      </c>
      <c r="R24" s="675">
        <f>SUM(C24:Q24)</f>
        <v>3889.2928054500262</v>
      </c>
      <c r="S24" s="67"/>
    </row>
    <row r="25" spans="1:19" s="448" customFormat="1" ht="15" thickBot="1">
      <c r="A25" s="806" t="s">
        <v>849</v>
      </c>
      <c r="B25" s="994"/>
      <c r="C25" s="995">
        <f>IF(Onbekend_ele_kWh="---",0,Onbekend_ele_kWh)/1000+IF(REST_rest_ele_kWh="---",0,REST_rest_ele_kWh)/1000</f>
        <v>1089.3530000000001</v>
      </c>
      <c r="D25" s="995"/>
      <c r="E25" s="995">
        <f>IF(onbekend_gas_kWh="---",0,onbekend_gas_kWh)/1000+IF(REST_rest_gas_kWh="---",0,REST_rest_gas_kWh)/1000</f>
        <v>1693.4683862245499</v>
      </c>
      <c r="F25" s="995"/>
      <c r="G25" s="995"/>
      <c r="H25" s="995"/>
      <c r="I25" s="995"/>
      <c r="J25" s="995"/>
      <c r="K25" s="995"/>
      <c r="L25" s="995"/>
      <c r="M25" s="995"/>
      <c r="N25" s="995"/>
      <c r="O25" s="995"/>
      <c r="P25" s="995"/>
      <c r="Q25" s="996"/>
      <c r="R25" s="675">
        <f>SUM(C25:Q25)</f>
        <v>2782.8213862245502</v>
      </c>
      <c r="S25" s="67"/>
    </row>
    <row r="26" spans="1:19" s="448" customFormat="1" ht="15.75" thickBot="1">
      <c r="A26" s="680" t="s">
        <v>850</v>
      </c>
      <c r="B26" s="792"/>
      <c r="C26" s="787">
        <f>SUM(C24:C25)</f>
        <v>1828.623</v>
      </c>
      <c r="D26" s="787">
        <f t="shared" ref="D26:R26" si="2">SUM(D24:D25)</f>
        <v>0</v>
      </c>
      <c r="E26" s="787">
        <f t="shared" si="2"/>
        <v>2847.6366012320823</v>
      </c>
      <c r="F26" s="787">
        <f t="shared" si="2"/>
        <v>6.8474283747382181</v>
      </c>
      <c r="G26" s="787">
        <f t="shared" si="2"/>
        <v>1875.6688207904765</v>
      </c>
      <c r="H26" s="787">
        <f t="shared" si="2"/>
        <v>0</v>
      </c>
      <c r="I26" s="787">
        <f t="shared" si="2"/>
        <v>0</v>
      </c>
      <c r="J26" s="787">
        <f t="shared" si="2"/>
        <v>0</v>
      </c>
      <c r="K26" s="787">
        <f t="shared" si="2"/>
        <v>113.3383412772792</v>
      </c>
      <c r="L26" s="787">
        <f t="shared" si="2"/>
        <v>0</v>
      </c>
      <c r="M26" s="787">
        <f t="shared" si="2"/>
        <v>0</v>
      </c>
      <c r="N26" s="787">
        <f t="shared" si="2"/>
        <v>0</v>
      </c>
      <c r="O26" s="787">
        <f t="shared" si="2"/>
        <v>0</v>
      </c>
      <c r="P26" s="787">
        <f t="shared" si="2"/>
        <v>0</v>
      </c>
      <c r="Q26" s="787">
        <f t="shared" si="2"/>
        <v>0</v>
      </c>
      <c r="R26" s="787">
        <f t="shared" si="2"/>
        <v>6672.1141916745764</v>
      </c>
      <c r="S26" s="67"/>
    </row>
    <row r="27" spans="1:19" s="448" customFormat="1" ht="17.25" thickTop="1" thickBot="1">
      <c r="A27" s="681" t="s">
        <v>115</v>
      </c>
      <c r="B27" s="780"/>
      <c r="C27" s="682">
        <f ca="1">C22+C16+C26</f>
        <v>64789.921782599049</v>
      </c>
      <c r="D27" s="682">
        <f t="shared" ref="D27:R27" ca="1" si="3">D22+D16+D26</f>
        <v>128.57142857142858</v>
      </c>
      <c r="E27" s="682">
        <f t="shared" ca="1" si="3"/>
        <v>63549.531373544603</v>
      </c>
      <c r="F27" s="682">
        <f t="shared" si="3"/>
        <v>26712.437254022636</v>
      </c>
      <c r="G27" s="682">
        <f t="shared" ca="1" si="3"/>
        <v>109637.20896229241</v>
      </c>
      <c r="H27" s="682">
        <f t="shared" si="3"/>
        <v>77175.385269157865</v>
      </c>
      <c r="I27" s="682">
        <f t="shared" si="3"/>
        <v>15649.067819422744</v>
      </c>
      <c r="J27" s="682">
        <f t="shared" si="3"/>
        <v>0</v>
      </c>
      <c r="K27" s="682">
        <f t="shared" si="3"/>
        <v>133.02362297500844</v>
      </c>
      <c r="L27" s="682">
        <f t="shared" si="3"/>
        <v>0</v>
      </c>
      <c r="M27" s="682">
        <f t="shared" ca="1" si="3"/>
        <v>0</v>
      </c>
      <c r="N27" s="682">
        <f t="shared" si="3"/>
        <v>4950.9086289885236</v>
      </c>
      <c r="O27" s="682">
        <f t="shared" ca="1" si="3"/>
        <v>11259.545781191795</v>
      </c>
      <c r="P27" s="682">
        <f t="shared" si="3"/>
        <v>315.79333333333335</v>
      </c>
      <c r="Q27" s="682">
        <f t="shared" si="3"/>
        <v>934.26666666666665</v>
      </c>
      <c r="R27" s="682">
        <f t="shared" ca="1" si="3"/>
        <v>375235.66192276607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3660.38999554271</v>
      </c>
      <c r="D40" s="991">
        <f ca="1">tertiair!C20</f>
        <v>30.554621848739504</v>
      </c>
      <c r="E40" s="991">
        <f ca="1">tertiair!D20</f>
        <v>2867.5584429125583</v>
      </c>
      <c r="F40" s="991">
        <f>tertiair!E20</f>
        <v>44.168095759793935</v>
      </c>
      <c r="G40" s="991">
        <f ca="1">tertiair!F20</f>
        <v>678.22019653912866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7280.8913526029301</v>
      </c>
    </row>
    <row r="41" spans="1:18">
      <c r="A41" s="797" t="s">
        <v>224</v>
      </c>
      <c r="B41" s="804"/>
      <c r="C41" s="991">
        <f ca="1">huishoudens!B12</f>
        <v>8495.5586221538088</v>
      </c>
      <c r="D41" s="991">
        <f ca="1">huishoudens!C12</f>
        <v>0</v>
      </c>
      <c r="E41" s="991">
        <f>huishoudens!D12</f>
        <v>9147.5565217095573</v>
      </c>
      <c r="F41" s="991">
        <f>huishoudens!E12</f>
        <v>5915.676180602758</v>
      </c>
      <c r="G41" s="991">
        <f>huishoudens!F12</f>
        <v>27592.318330128564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51151.109654594693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472.6727777145224</v>
      </c>
      <c r="D43" s="991">
        <f ca="1">industrie!C22</f>
        <v>0</v>
      </c>
      <c r="E43" s="991">
        <f>industrie!D22</f>
        <v>241.43201932087007</v>
      </c>
      <c r="F43" s="991">
        <f>industrie!E22</f>
        <v>45.678814166075917</v>
      </c>
      <c r="G43" s="991">
        <f>industrie!F22</f>
        <v>501.79269111332218</v>
      </c>
      <c r="H43" s="991">
        <f>industrie!G22</f>
        <v>0</v>
      </c>
      <c r="I43" s="991">
        <f>industrie!H22</f>
        <v>0</v>
      </c>
      <c r="J43" s="991">
        <f>industrie!I22</f>
        <v>0</v>
      </c>
      <c r="K43" s="991">
        <f>industrie!J22</f>
        <v>6.9685897209961514</v>
      </c>
      <c r="L43" s="991">
        <f>industrie!K22</f>
        <v>0</v>
      </c>
      <c r="M43" s="991">
        <f>industrie!L22</f>
        <v>0</v>
      </c>
      <c r="N43" s="991">
        <f>industrie!M22</f>
        <v>0</v>
      </c>
      <c r="O43" s="991">
        <f>industrie!N22</f>
        <v>0</v>
      </c>
      <c r="P43" s="991">
        <f>industrie!O22</f>
        <v>0</v>
      </c>
      <c r="Q43" s="749">
        <f>industrie!P22</f>
        <v>0</v>
      </c>
      <c r="R43" s="824">
        <f t="shared" ca="1" si="4"/>
        <v>1268.5448920357867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12628.621395411041</v>
      </c>
      <c r="D46" s="707">
        <f t="shared" ref="D46:Q46" ca="1" si="5">SUM(D39:D45)</f>
        <v>30.554621848739504</v>
      </c>
      <c r="E46" s="707">
        <f t="shared" ca="1" si="5"/>
        <v>12256.546983942986</v>
      </c>
      <c r="F46" s="707">
        <f t="shared" si="5"/>
        <v>6005.523090528628</v>
      </c>
      <c r="G46" s="707">
        <f t="shared" ca="1" si="5"/>
        <v>28772.331217781015</v>
      </c>
      <c r="H46" s="707">
        <f t="shared" si="5"/>
        <v>0</v>
      </c>
      <c r="I46" s="707">
        <f t="shared" si="5"/>
        <v>0</v>
      </c>
      <c r="J46" s="707">
        <f t="shared" si="5"/>
        <v>0</v>
      </c>
      <c r="K46" s="707">
        <f t="shared" si="5"/>
        <v>6.9685897209961514</v>
      </c>
      <c r="L46" s="707">
        <f t="shared" si="5"/>
        <v>0</v>
      </c>
      <c r="M46" s="707">
        <f t="shared" ca="1" si="5"/>
        <v>0</v>
      </c>
      <c r="N46" s="707">
        <f t="shared" si="5"/>
        <v>0</v>
      </c>
      <c r="O46" s="707">
        <f t="shared" ca="1" si="5"/>
        <v>0</v>
      </c>
      <c r="P46" s="707">
        <f t="shared" si="5"/>
        <v>0</v>
      </c>
      <c r="Q46" s="707">
        <f t="shared" si="5"/>
        <v>0</v>
      </c>
      <c r="R46" s="707">
        <f ca="1">SUM(R39:R45)</f>
        <v>59700.54589923341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274.03547176690034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274.03547176690034</v>
      </c>
    </row>
    <row r="50" spans="1:18">
      <c r="A50" s="800" t="s">
        <v>306</v>
      </c>
      <c r="B50" s="810"/>
      <c r="C50" s="678">
        <f ca="1">transport!B18</f>
        <v>2.3167969159047823</v>
      </c>
      <c r="D50" s="678">
        <f>transport!C18</f>
        <v>0</v>
      </c>
      <c r="E50" s="678">
        <f>transport!D18</f>
        <v>5.2357600641451265</v>
      </c>
      <c r="F50" s="678">
        <f>transport!E18</f>
        <v>56.645799893444845</v>
      </c>
      <c r="G50" s="678">
        <f>transport!F18</f>
        <v>0</v>
      </c>
      <c r="H50" s="678">
        <f>transport!G18</f>
        <v>20331.792395098251</v>
      </c>
      <c r="I50" s="678">
        <f>transport!H18</f>
        <v>3896.6178870362633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24292.608639008009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2.3167969159047823</v>
      </c>
      <c r="D52" s="707">
        <f t="shared" ref="D52:Q52" ca="1" si="6">SUM(D48:D51)</f>
        <v>0</v>
      </c>
      <c r="E52" s="707">
        <f t="shared" si="6"/>
        <v>5.2357600641451265</v>
      </c>
      <c r="F52" s="707">
        <f t="shared" si="6"/>
        <v>56.645799893444845</v>
      </c>
      <c r="G52" s="707">
        <f t="shared" si="6"/>
        <v>0</v>
      </c>
      <c r="H52" s="707">
        <f t="shared" si="6"/>
        <v>20605.827866865151</v>
      </c>
      <c r="I52" s="707">
        <f t="shared" si="6"/>
        <v>3896.6178870362633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24566.644110774909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148.30814894216007</v>
      </c>
      <c r="D54" s="678">
        <f ca="1">+landbouw!C12</f>
        <v>0</v>
      </c>
      <c r="E54" s="678">
        <f>+landbouw!D12</f>
        <v>233.14197943152161</v>
      </c>
      <c r="F54" s="678">
        <f>+landbouw!E12</f>
        <v>1.5543662410655756</v>
      </c>
      <c r="G54" s="678">
        <f>+landbouw!F12</f>
        <v>500.80357515105726</v>
      </c>
      <c r="H54" s="678">
        <f>+landbouw!G12</f>
        <v>0</v>
      </c>
      <c r="I54" s="678">
        <f>+landbouw!H12</f>
        <v>0</v>
      </c>
      <c r="J54" s="678">
        <f>+landbouw!I12</f>
        <v>0</v>
      </c>
      <c r="K54" s="678">
        <f>+landbouw!J12</f>
        <v>40.121772812156834</v>
      </c>
      <c r="L54" s="678">
        <f>+landbouw!K12</f>
        <v>0</v>
      </c>
      <c r="M54" s="678">
        <f>+landbouw!L12</f>
        <v>0</v>
      </c>
      <c r="N54" s="678">
        <f>+landbouw!M12</f>
        <v>0</v>
      </c>
      <c r="O54" s="678">
        <f>+landbouw!N12</f>
        <v>0</v>
      </c>
      <c r="P54" s="678">
        <f>+landbouw!O12</f>
        <v>0</v>
      </c>
      <c r="Q54" s="679">
        <f>+landbouw!P12</f>
        <v>0</v>
      </c>
      <c r="R54" s="706">
        <f ca="1">SUM(C54:Q54)</f>
        <v>923.92984257796127</v>
      </c>
    </row>
    <row r="55" spans="1:18" ht="15" thickBot="1">
      <c r="A55" s="800" t="s">
        <v>849</v>
      </c>
      <c r="B55" s="810"/>
      <c r="C55" s="678">
        <f ca="1">C25*'EF ele_warmte'!B12</f>
        <v>218.53981221284363</v>
      </c>
      <c r="D55" s="678"/>
      <c r="E55" s="678">
        <f>E25*EF_CO2_aardgas</f>
        <v>342.0806140173591</v>
      </c>
      <c r="F55" s="678"/>
      <c r="G55" s="678"/>
      <c r="H55" s="678"/>
      <c r="I55" s="678"/>
      <c r="J55" s="678"/>
      <c r="K55" s="678"/>
      <c r="L55" s="678"/>
      <c r="M55" s="678"/>
      <c r="N55" s="678"/>
      <c r="O55" s="678"/>
      <c r="P55" s="678"/>
      <c r="Q55" s="679"/>
      <c r="R55" s="706">
        <f ca="1">SUM(C55:Q55)</f>
        <v>560.62042623020272</v>
      </c>
    </row>
    <row r="56" spans="1:18" ht="15.75" thickBot="1">
      <c r="A56" s="798" t="s">
        <v>850</v>
      </c>
      <c r="B56" s="811"/>
      <c r="C56" s="707">
        <f ca="1">SUM(C54:C55)</f>
        <v>366.8479611550037</v>
      </c>
      <c r="D56" s="707">
        <f t="shared" ref="D56:Q56" ca="1" si="7">SUM(D54:D55)</f>
        <v>0</v>
      </c>
      <c r="E56" s="707">
        <f t="shared" si="7"/>
        <v>575.22259344888073</v>
      </c>
      <c r="F56" s="707">
        <f t="shared" si="7"/>
        <v>1.5543662410655756</v>
      </c>
      <c r="G56" s="707">
        <f t="shared" si="7"/>
        <v>500.80357515105726</v>
      </c>
      <c r="H56" s="707">
        <f t="shared" si="7"/>
        <v>0</v>
      </c>
      <c r="I56" s="707">
        <f t="shared" si="7"/>
        <v>0</v>
      </c>
      <c r="J56" s="707">
        <f t="shared" si="7"/>
        <v>0</v>
      </c>
      <c r="K56" s="707">
        <f t="shared" si="7"/>
        <v>40.121772812156834</v>
      </c>
      <c r="L56" s="707">
        <f t="shared" si="7"/>
        <v>0</v>
      </c>
      <c r="M56" s="707">
        <f t="shared" si="7"/>
        <v>0</v>
      </c>
      <c r="N56" s="707">
        <f t="shared" si="7"/>
        <v>0</v>
      </c>
      <c r="O56" s="707">
        <f t="shared" si="7"/>
        <v>0</v>
      </c>
      <c r="P56" s="707">
        <f t="shared" si="7"/>
        <v>0</v>
      </c>
      <c r="Q56" s="708">
        <f t="shared" si="7"/>
        <v>0</v>
      </c>
      <c r="R56" s="709">
        <f ca="1">SUM(R54:R55)</f>
        <v>1484.550268808164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12997.786153481948</v>
      </c>
      <c r="D61" s="715">
        <f t="shared" ref="D61:Q61" ca="1" si="8">D46+D52+D56</f>
        <v>30.554621848739504</v>
      </c>
      <c r="E61" s="715">
        <f t="shared" ca="1" si="8"/>
        <v>12837.005337456012</v>
      </c>
      <c r="F61" s="715">
        <f t="shared" si="8"/>
        <v>6063.7232566631383</v>
      </c>
      <c r="G61" s="715">
        <f t="shared" ca="1" si="8"/>
        <v>29273.134792932073</v>
      </c>
      <c r="H61" s="715">
        <f t="shared" si="8"/>
        <v>20605.827866865151</v>
      </c>
      <c r="I61" s="715">
        <f t="shared" si="8"/>
        <v>3896.6178870362633</v>
      </c>
      <c r="J61" s="715">
        <f t="shared" si="8"/>
        <v>0</v>
      </c>
      <c r="K61" s="715">
        <f t="shared" si="8"/>
        <v>47.090362533152984</v>
      </c>
      <c r="L61" s="715">
        <f t="shared" si="8"/>
        <v>0</v>
      </c>
      <c r="M61" s="715">
        <f t="shared" ca="1" si="8"/>
        <v>0</v>
      </c>
      <c r="N61" s="715">
        <f t="shared" si="8"/>
        <v>0</v>
      </c>
      <c r="O61" s="715">
        <f t="shared" ca="1" si="8"/>
        <v>0</v>
      </c>
      <c r="P61" s="715">
        <f t="shared" si="8"/>
        <v>0</v>
      </c>
      <c r="Q61" s="715">
        <f t="shared" si="8"/>
        <v>0</v>
      </c>
      <c r="R61" s="715">
        <f ca="1">R46+R52+R56</f>
        <v>85751.740278816476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0.20061432080587613</v>
      </c>
      <c r="D63" s="756">
        <f t="shared" ca="1" si="9"/>
        <v>0.23764705882352946</v>
      </c>
      <c r="E63" s="1002">
        <f t="shared" ca="1" si="9"/>
        <v>0.20200000000000004</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5983.1891211156526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90</v>
      </c>
      <c r="D76" s="1012">
        <f>'lokale energieproductie'!C8</f>
        <v>105.88235294117648</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21.388235294117649</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5983.1891211156526</v>
      </c>
      <c r="C78" s="730">
        <f>SUM(C72:C77)</f>
        <v>90</v>
      </c>
      <c r="D78" s="731">
        <f t="shared" ref="D78:H78" si="10">SUM(D76:D77)</f>
        <v>105.88235294117648</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21.388235294117649</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128.57142857142858</v>
      </c>
      <c r="D87" s="752">
        <f>'lokale energieproductie'!C17</f>
        <v>151.2605042016807</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30.554621848739504</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128.57142857142858</v>
      </c>
      <c r="D90" s="730">
        <f t="shared" ref="D90:H90" si="12">SUM(D87:D89)</f>
        <v>151.2605042016807</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30.554621848739504</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5983.1891211156526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90</v>
      </c>
      <c r="C8" s="545">
        <f>B48</f>
        <v>105.88235294117648</v>
      </c>
      <c r="D8" s="1022"/>
      <c r="E8" s="1022">
        <f>E48</f>
        <v>0</v>
      </c>
      <c r="F8" s="1023"/>
      <c r="G8" s="546"/>
      <c r="H8" s="1022">
        <f>I48</f>
        <v>0</v>
      </c>
      <c r="I8" s="1022">
        <f>G48+F48</f>
        <v>0</v>
      </c>
      <c r="J8" s="1022">
        <f>H48+D48+C48</f>
        <v>0</v>
      </c>
      <c r="K8" s="1022"/>
      <c r="L8" s="1022"/>
      <c r="M8" s="1022"/>
      <c r="N8" s="547"/>
      <c r="O8" s="548">
        <f>C8*$C$12+D8*$D$12+E8*$E$12+F8*$F$12+G8*$G$12+H8*$H$12+I8*$I$12+J8*$J$12</f>
        <v>21.388235294117649</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6073.1891211156526</v>
      </c>
      <c r="C10" s="558">
        <f t="shared" ref="C10:L10" si="0">SUM(C8:C9)</f>
        <v>105.88235294117648</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21.388235294117649</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128.57142857142858</v>
      </c>
      <c r="C17" s="570">
        <f>B49</f>
        <v>151.2605042016807</v>
      </c>
      <c r="D17" s="571"/>
      <c r="E17" s="571">
        <f>E49</f>
        <v>0</v>
      </c>
      <c r="F17" s="1028"/>
      <c r="G17" s="572"/>
      <c r="H17" s="570">
        <f>I49</f>
        <v>0</v>
      </c>
      <c r="I17" s="571">
        <f>G49+F49</f>
        <v>0</v>
      </c>
      <c r="J17" s="571">
        <f>H49+D49+C49</f>
        <v>0</v>
      </c>
      <c r="K17" s="571"/>
      <c r="L17" s="571"/>
      <c r="M17" s="571"/>
      <c r="N17" s="1029"/>
      <c r="O17" s="573">
        <f>C17*$C$22+E17*$E$22+H17*$H$22+I17*$I$22+J17*$J$22+D17*$D$22+F17*$F$22+G17*$G$22+K17*$K$22+L17*$L$22</f>
        <v>30.554621848739504</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128.57142857142858</v>
      </c>
      <c r="C20" s="557">
        <f>SUM(C17:C19)</f>
        <v>151.2605042016807</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30.554621848739504</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24134</v>
      </c>
      <c r="C28" s="771">
        <v>3271</v>
      </c>
      <c r="D28" s="628" t="s">
        <v>913</v>
      </c>
      <c r="E28" s="627" t="s">
        <v>914</v>
      </c>
      <c r="F28" s="627" t="s">
        <v>915</v>
      </c>
      <c r="G28" s="627" t="s">
        <v>916</v>
      </c>
      <c r="H28" s="627" t="s">
        <v>917</v>
      </c>
      <c r="I28" s="627" t="s">
        <v>914</v>
      </c>
      <c r="J28" s="770">
        <v>41523</v>
      </c>
      <c r="K28" s="770">
        <v>41520</v>
      </c>
      <c r="L28" s="627" t="s">
        <v>918</v>
      </c>
      <c r="M28" s="627">
        <v>20</v>
      </c>
      <c r="N28" s="627">
        <v>90</v>
      </c>
      <c r="O28" s="627">
        <v>128.57142857142858</v>
      </c>
      <c r="P28" s="627">
        <v>257.14285714285717</v>
      </c>
      <c r="Q28" s="627">
        <v>0</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20</v>
      </c>
      <c r="N29" s="585">
        <f>SUM(N28:N28)</f>
        <v>90</v>
      </c>
      <c r="O29" s="585">
        <f>SUM(O28:O28)</f>
        <v>128.57142857142858</v>
      </c>
      <c r="P29" s="585">
        <f>SUM(P28:P28)</f>
        <v>257.14285714285717</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20</v>
      </c>
      <c r="N31" s="585">
        <f ca="1">SUMIF($Z$28:AD28,"tertiair",N28:N28)</f>
        <v>90</v>
      </c>
      <c r="O31" s="585">
        <f ca="1">SUMIF($Z$28:AE28,"tertiair",O28:O28)</f>
        <v>128.57142857142858</v>
      </c>
      <c r="P31" s="585">
        <f ca="1">SUMIF($Z$28:AF28,"tertiair",P28:P28)</f>
        <v>257.14285714285717</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105.88235294117648</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151.2605042016807</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42347.717690475896</v>
      </c>
      <c r="C4" s="452">
        <f>huishoudens!C8</f>
        <v>0</v>
      </c>
      <c r="D4" s="452">
        <f>huishoudens!D8</f>
        <v>45284.933275789881</v>
      </c>
      <c r="E4" s="452">
        <f>huishoudens!E8</f>
        <v>26060.247491642105</v>
      </c>
      <c r="F4" s="452">
        <f>huishoudens!F8</f>
        <v>103342.01621770997</v>
      </c>
      <c r="G4" s="452">
        <f>huishoudens!G8</f>
        <v>0</v>
      </c>
      <c r="H4" s="452">
        <f>huishoudens!H8</f>
        <v>0</v>
      </c>
      <c r="I4" s="452">
        <f>huishoudens!I8</f>
        <v>0</v>
      </c>
      <c r="J4" s="452">
        <f>huishoudens!J8</f>
        <v>0</v>
      </c>
      <c r="K4" s="452">
        <f>huishoudens!K8</f>
        <v>0</v>
      </c>
      <c r="L4" s="452">
        <f>huishoudens!L8</f>
        <v>0</v>
      </c>
      <c r="M4" s="452">
        <f>huishoudens!M8</f>
        <v>0</v>
      </c>
      <c r="N4" s="452">
        <f>huishoudens!N8</f>
        <v>9251.7656501203182</v>
      </c>
      <c r="O4" s="452">
        <f>huishoudens!O8</f>
        <v>312.66666666666669</v>
      </c>
      <c r="P4" s="453">
        <f>huishoudens!P8</f>
        <v>877.06666666666661</v>
      </c>
      <c r="Q4" s="454">
        <f>SUM(B4:P4)</f>
        <v>227476.41365907152</v>
      </c>
    </row>
    <row r="5" spans="1:17">
      <c r="A5" s="451" t="s">
        <v>155</v>
      </c>
      <c r="B5" s="452">
        <f ca="1">tertiair!B16</f>
        <v>16843.38278</v>
      </c>
      <c r="C5" s="452">
        <f ca="1">tertiair!C16</f>
        <v>128.57142857142858</v>
      </c>
      <c r="D5" s="452">
        <f ca="1">tertiair!D16</f>
        <v>14195.833875804743</v>
      </c>
      <c r="E5" s="452">
        <f>tertiair!E16</f>
        <v>194.5731090739821</v>
      </c>
      <c r="F5" s="452">
        <f ca="1">tertiair!F16</f>
        <v>2540.1505488356879</v>
      </c>
      <c r="G5" s="452">
        <f>tertiair!G16</f>
        <v>0</v>
      </c>
      <c r="H5" s="452">
        <f>tertiair!H16</f>
        <v>0</v>
      </c>
      <c r="I5" s="452">
        <f>tertiair!I16</f>
        <v>0</v>
      </c>
      <c r="J5" s="452">
        <f>tertiair!J16</f>
        <v>0</v>
      </c>
      <c r="K5" s="452">
        <f>tertiair!K16</f>
        <v>0</v>
      </c>
      <c r="L5" s="452">
        <f ca="1">tertiair!L16</f>
        <v>0</v>
      </c>
      <c r="M5" s="452">
        <f>tertiair!M16</f>
        <v>0</v>
      </c>
      <c r="N5" s="452">
        <f ca="1">tertiair!N16</f>
        <v>1571.4948914744143</v>
      </c>
      <c r="O5" s="452">
        <f>tertiair!O16</f>
        <v>3.1266666666666669</v>
      </c>
      <c r="P5" s="453">
        <f>tertiair!P16</f>
        <v>57.2</v>
      </c>
      <c r="Q5" s="451">
        <f t="shared" ref="Q5:Q14" ca="1" si="0">SUM(B5:P5)</f>
        <v>35534.333300426915</v>
      </c>
    </row>
    <row r="6" spans="1:17">
      <c r="A6" s="451" t="s">
        <v>193</v>
      </c>
      <c r="B6" s="452">
        <f>'openbare verlichting'!B8</f>
        <v>1402.5229999999999</v>
      </c>
      <c r="C6" s="452"/>
      <c r="D6" s="452"/>
      <c r="E6" s="452"/>
      <c r="F6" s="452"/>
      <c r="G6" s="452"/>
      <c r="H6" s="452"/>
      <c r="I6" s="452"/>
      <c r="J6" s="452"/>
      <c r="K6" s="452"/>
      <c r="L6" s="452"/>
      <c r="M6" s="452"/>
      <c r="N6" s="452"/>
      <c r="O6" s="452"/>
      <c r="P6" s="453"/>
      <c r="Q6" s="451">
        <f t="shared" si="0"/>
        <v>1402.5229999999999</v>
      </c>
    </row>
    <row r="7" spans="1:17">
      <c r="A7" s="451" t="s">
        <v>111</v>
      </c>
      <c r="B7" s="452">
        <f>landbouw!B8</f>
        <v>739.27</v>
      </c>
      <c r="C7" s="452">
        <f>landbouw!C8</f>
        <v>0</v>
      </c>
      <c r="D7" s="452">
        <f>landbouw!D8</f>
        <v>1154.1682150075326</v>
      </c>
      <c r="E7" s="452">
        <f>landbouw!E8</f>
        <v>6.8474283747382181</v>
      </c>
      <c r="F7" s="452">
        <f>landbouw!F8</f>
        <v>1875.6688207904765</v>
      </c>
      <c r="G7" s="452">
        <f>landbouw!G8</f>
        <v>0</v>
      </c>
      <c r="H7" s="452">
        <f>landbouw!H8</f>
        <v>0</v>
      </c>
      <c r="I7" s="452">
        <f>landbouw!I8</f>
        <v>0</v>
      </c>
      <c r="J7" s="452">
        <f>landbouw!J8</f>
        <v>113.3383412772792</v>
      </c>
      <c r="K7" s="452">
        <f>landbouw!K8</f>
        <v>0</v>
      </c>
      <c r="L7" s="452">
        <f>landbouw!L8</f>
        <v>0</v>
      </c>
      <c r="M7" s="452">
        <f>landbouw!M8</f>
        <v>0</v>
      </c>
      <c r="N7" s="452">
        <f>landbouw!N8</f>
        <v>0</v>
      </c>
      <c r="O7" s="452">
        <f>landbouw!O8</f>
        <v>0</v>
      </c>
      <c r="P7" s="453">
        <f>landbouw!P8</f>
        <v>0</v>
      </c>
      <c r="Q7" s="451">
        <f t="shared" si="0"/>
        <v>3889.2928054500262</v>
      </c>
    </row>
    <row r="8" spans="1:17">
      <c r="A8" s="451" t="s">
        <v>649</v>
      </c>
      <c r="B8" s="452">
        <f>industrie!B18</f>
        <v>2356.1268</v>
      </c>
      <c r="C8" s="452">
        <f>industrie!C18</f>
        <v>0</v>
      </c>
      <c r="D8" s="452">
        <f>industrie!D18</f>
        <v>1195.2080164399508</v>
      </c>
      <c r="E8" s="452">
        <f>industrie!E18</f>
        <v>201.2282562382199</v>
      </c>
      <c r="F8" s="452">
        <f>industrie!F18</f>
        <v>1879.3733749562628</v>
      </c>
      <c r="G8" s="452">
        <f>industrie!G18</f>
        <v>0</v>
      </c>
      <c r="H8" s="452">
        <f>industrie!H18</f>
        <v>0</v>
      </c>
      <c r="I8" s="452">
        <f>industrie!I18</f>
        <v>0</v>
      </c>
      <c r="J8" s="452">
        <f>industrie!J18</f>
        <v>19.685281697729241</v>
      </c>
      <c r="K8" s="452">
        <f>industrie!K18</f>
        <v>0</v>
      </c>
      <c r="L8" s="452">
        <f>industrie!L18</f>
        <v>0</v>
      </c>
      <c r="M8" s="452">
        <f>industrie!M18</f>
        <v>0</v>
      </c>
      <c r="N8" s="452">
        <f>industrie!N18</f>
        <v>436.28523959706195</v>
      </c>
      <c r="O8" s="452">
        <f>industrie!O18</f>
        <v>0</v>
      </c>
      <c r="P8" s="453">
        <f>industrie!P18</f>
        <v>0</v>
      </c>
      <c r="Q8" s="451">
        <f t="shared" si="0"/>
        <v>6087.9069689292246</v>
      </c>
    </row>
    <row r="9" spans="1:17" s="457" customFormat="1">
      <c r="A9" s="455" t="s">
        <v>570</v>
      </c>
      <c r="B9" s="456">
        <f>transport!B14</f>
        <v>11.548512123153081</v>
      </c>
      <c r="C9" s="456">
        <f>transport!C14</f>
        <v>0</v>
      </c>
      <c r="D9" s="456">
        <f>transport!D14</f>
        <v>25.919604277946171</v>
      </c>
      <c r="E9" s="456">
        <f>transport!E14</f>
        <v>249.54096869358963</v>
      </c>
      <c r="F9" s="456">
        <f>transport!F14</f>
        <v>0</v>
      </c>
      <c r="G9" s="456">
        <f>transport!G14</f>
        <v>76149.035187633897</v>
      </c>
      <c r="H9" s="456">
        <f>transport!H14</f>
        <v>15649.067819422744</v>
      </c>
      <c r="I9" s="456">
        <f>transport!I14</f>
        <v>0</v>
      </c>
      <c r="J9" s="456">
        <f>transport!J14</f>
        <v>0</v>
      </c>
      <c r="K9" s="456">
        <f>transport!K14</f>
        <v>0</v>
      </c>
      <c r="L9" s="456">
        <f>transport!L14</f>
        <v>0</v>
      </c>
      <c r="M9" s="456">
        <f>transport!M14</f>
        <v>4892.2455822384536</v>
      </c>
      <c r="N9" s="456">
        <f>transport!N14</f>
        <v>0</v>
      </c>
      <c r="O9" s="456">
        <f>transport!O14</f>
        <v>0</v>
      </c>
      <c r="P9" s="456">
        <f>transport!P14</f>
        <v>0</v>
      </c>
      <c r="Q9" s="455">
        <f>SUM(B9:P9)</f>
        <v>96977.357674389787</v>
      </c>
    </row>
    <row r="10" spans="1:17">
      <c r="A10" s="451" t="s">
        <v>560</v>
      </c>
      <c r="B10" s="452">
        <f>transport!B54</f>
        <v>0</v>
      </c>
      <c r="C10" s="452">
        <f>transport!C54</f>
        <v>0</v>
      </c>
      <c r="D10" s="452">
        <f>transport!D54</f>
        <v>0</v>
      </c>
      <c r="E10" s="452">
        <f>transport!E54</f>
        <v>0</v>
      </c>
      <c r="F10" s="452">
        <f>transport!F54</f>
        <v>0</v>
      </c>
      <c r="G10" s="452">
        <f>transport!G54</f>
        <v>1026.3500815239713</v>
      </c>
      <c r="H10" s="452">
        <f>transport!H54</f>
        <v>0</v>
      </c>
      <c r="I10" s="452">
        <f>transport!I54</f>
        <v>0</v>
      </c>
      <c r="J10" s="452">
        <f>transport!J54</f>
        <v>0</v>
      </c>
      <c r="K10" s="452">
        <f>transport!K54</f>
        <v>0</v>
      </c>
      <c r="L10" s="452">
        <f>transport!L54</f>
        <v>0</v>
      </c>
      <c r="M10" s="452">
        <f>transport!M54</f>
        <v>58.66304675006986</v>
      </c>
      <c r="N10" s="452">
        <f>transport!N54</f>
        <v>0</v>
      </c>
      <c r="O10" s="452">
        <f>transport!O54</f>
        <v>0</v>
      </c>
      <c r="P10" s="453">
        <f>transport!P54</f>
        <v>0</v>
      </c>
      <c r="Q10" s="451">
        <f t="shared" si="0"/>
        <v>1085.0131282740413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1089.3530000000001</v>
      </c>
      <c r="C14" s="459"/>
      <c r="D14" s="459">
        <f>'SEAP template'!E25</f>
        <v>1693.4683862245499</v>
      </c>
      <c r="E14" s="459"/>
      <c r="F14" s="459"/>
      <c r="G14" s="459"/>
      <c r="H14" s="459"/>
      <c r="I14" s="459"/>
      <c r="J14" s="459"/>
      <c r="K14" s="459"/>
      <c r="L14" s="459"/>
      <c r="M14" s="459"/>
      <c r="N14" s="459"/>
      <c r="O14" s="459"/>
      <c r="P14" s="460"/>
      <c r="Q14" s="451">
        <f t="shared" si="0"/>
        <v>2782.8213862245502</v>
      </c>
    </row>
    <row r="15" spans="1:17" s="461" customFormat="1">
      <c r="A15" s="1017" t="s">
        <v>564</v>
      </c>
      <c r="B15" s="957">
        <f ca="1">SUM(B4:B14)</f>
        <v>64789.921782599049</v>
      </c>
      <c r="C15" s="957">
        <f t="shared" ref="C15:Q15" ca="1" si="1">SUM(C4:C14)</f>
        <v>128.57142857142858</v>
      </c>
      <c r="D15" s="957">
        <f t="shared" ca="1" si="1"/>
        <v>63549.531373544611</v>
      </c>
      <c r="E15" s="957">
        <f t="shared" si="1"/>
        <v>26712.437254022636</v>
      </c>
      <c r="F15" s="957">
        <f t="shared" ca="1" si="1"/>
        <v>109637.20896229241</v>
      </c>
      <c r="G15" s="957">
        <f t="shared" si="1"/>
        <v>77175.385269157865</v>
      </c>
      <c r="H15" s="957">
        <f t="shared" si="1"/>
        <v>15649.067819422744</v>
      </c>
      <c r="I15" s="957">
        <f t="shared" si="1"/>
        <v>0</v>
      </c>
      <c r="J15" s="957">
        <f t="shared" si="1"/>
        <v>133.02362297500844</v>
      </c>
      <c r="K15" s="957">
        <f t="shared" si="1"/>
        <v>0</v>
      </c>
      <c r="L15" s="957">
        <f t="shared" ca="1" si="1"/>
        <v>0</v>
      </c>
      <c r="M15" s="957">
        <f t="shared" si="1"/>
        <v>4950.9086289885236</v>
      </c>
      <c r="N15" s="957">
        <f t="shared" ca="1" si="1"/>
        <v>11259.545781191795</v>
      </c>
      <c r="O15" s="957">
        <f t="shared" si="1"/>
        <v>315.79333333333335</v>
      </c>
      <c r="P15" s="957">
        <f t="shared" si="1"/>
        <v>934.26666666666665</v>
      </c>
      <c r="Q15" s="957">
        <f t="shared" ca="1" si="1"/>
        <v>375235.66192276607</v>
      </c>
    </row>
    <row r="17" spans="1:17">
      <c r="A17" s="462" t="s">
        <v>565</v>
      </c>
      <c r="B17" s="761">
        <f ca="1">huishoudens!B10</f>
        <v>0.20061432080587616</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8495.5586221538088</v>
      </c>
      <c r="C22" s="452">
        <f t="shared" ref="C22:C32" ca="1" si="3">C4*$C$17</f>
        <v>0</v>
      </c>
      <c r="D22" s="452">
        <f t="shared" ref="D22:D32" si="4">D4*$D$17</f>
        <v>9147.5565217095573</v>
      </c>
      <c r="E22" s="452">
        <f t="shared" ref="E22:E32" si="5">E4*$E$17</f>
        <v>5915.676180602758</v>
      </c>
      <c r="F22" s="452">
        <f t="shared" ref="F22:F32" si="6">F4*$F$17</f>
        <v>27592.318330128564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51151.109654594693</v>
      </c>
    </row>
    <row r="23" spans="1:17">
      <c r="A23" s="451" t="s">
        <v>155</v>
      </c>
      <c r="B23" s="452">
        <f t="shared" ca="1" si="2"/>
        <v>3379.0237964830903</v>
      </c>
      <c r="C23" s="452">
        <f t="shared" ca="1" si="3"/>
        <v>30.554621848739504</v>
      </c>
      <c r="D23" s="452">
        <f t="shared" ca="1" si="4"/>
        <v>2867.5584429125583</v>
      </c>
      <c r="E23" s="452">
        <f t="shared" si="5"/>
        <v>44.168095759793935</v>
      </c>
      <c r="F23" s="452">
        <f t="shared" ca="1" si="6"/>
        <v>678.22019653912866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6999.5251535433099</v>
      </c>
    </row>
    <row r="24" spans="1:17">
      <c r="A24" s="451" t="s">
        <v>193</v>
      </c>
      <c r="B24" s="452">
        <f t="shared" ca="1" si="2"/>
        <v>281.36619905961982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281.36619905961982</v>
      </c>
    </row>
    <row r="25" spans="1:17">
      <c r="A25" s="451" t="s">
        <v>111</v>
      </c>
      <c r="B25" s="452">
        <f t="shared" ca="1" si="2"/>
        <v>148.30814894216007</v>
      </c>
      <c r="C25" s="452">
        <f t="shared" ca="1" si="3"/>
        <v>0</v>
      </c>
      <c r="D25" s="452">
        <f t="shared" si="4"/>
        <v>233.14197943152161</v>
      </c>
      <c r="E25" s="452">
        <f t="shared" si="5"/>
        <v>1.5543662410655756</v>
      </c>
      <c r="F25" s="452">
        <f t="shared" si="6"/>
        <v>500.80357515105726</v>
      </c>
      <c r="G25" s="452">
        <f t="shared" si="7"/>
        <v>0</v>
      </c>
      <c r="H25" s="452">
        <f t="shared" si="8"/>
        <v>0</v>
      </c>
      <c r="I25" s="452">
        <f t="shared" si="9"/>
        <v>0</v>
      </c>
      <c r="J25" s="452">
        <f t="shared" si="10"/>
        <v>40.121772812156834</v>
      </c>
      <c r="K25" s="452">
        <f t="shared" si="11"/>
        <v>0</v>
      </c>
      <c r="L25" s="452">
        <f t="shared" si="12"/>
        <v>0</v>
      </c>
      <c r="M25" s="452">
        <f t="shared" si="13"/>
        <v>0</v>
      </c>
      <c r="N25" s="452">
        <f t="shared" si="14"/>
        <v>0</v>
      </c>
      <c r="O25" s="452">
        <f t="shared" si="15"/>
        <v>0</v>
      </c>
      <c r="P25" s="453">
        <f t="shared" si="16"/>
        <v>0</v>
      </c>
      <c r="Q25" s="451">
        <f t="shared" ca="1" si="17"/>
        <v>923.92984257796127</v>
      </c>
    </row>
    <row r="26" spans="1:17">
      <c r="A26" s="451" t="s">
        <v>649</v>
      </c>
      <c r="B26" s="452">
        <f t="shared" ca="1" si="2"/>
        <v>472.6727777145224</v>
      </c>
      <c r="C26" s="452">
        <f t="shared" ca="1" si="3"/>
        <v>0</v>
      </c>
      <c r="D26" s="452">
        <f t="shared" si="4"/>
        <v>241.43201932087007</v>
      </c>
      <c r="E26" s="452">
        <f t="shared" si="5"/>
        <v>45.678814166075917</v>
      </c>
      <c r="F26" s="452">
        <f t="shared" si="6"/>
        <v>501.79269111332218</v>
      </c>
      <c r="G26" s="452">
        <f t="shared" si="7"/>
        <v>0</v>
      </c>
      <c r="H26" s="452">
        <f t="shared" si="8"/>
        <v>0</v>
      </c>
      <c r="I26" s="452">
        <f t="shared" si="9"/>
        <v>0</v>
      </c>
      <c r="J26" s="452">
        <f t="shared" si="10"/>
        <v>6.9685897209961514</v>
      </c>
      <c r="K26" s="452">
        <f t="shared" si="11"/>
        <v>0</v>
      </c>
      <c r="L26" s="452">
        <f t="shared" si="12"/>
        <v>0</v>
      </c>
      <c r="M26" s="452">
        <f t="shared" si="13"/>
        <v>0</v>
      </c>
      <c r="N26" s="452">
        <f t="shared" si="14"/>
        <v>0</v>
      </c>
      <c r="O26" s="452">
        <f t="shared" si="15"/>
        <v>0</v>
      </c>
      <c r="P26" s="453">
        <f t="shared" si="16"/>
        <v>0</v>
      </c>
      <c r="Q26" s="451">
        <f t="shared" ca="1" si="17"/>
        <v>1268.5448920357867</v>
      </c>
    </row>
    <row r="27" spans="1:17" s="457" customFormat="1">
      <c r="A27" s="455" t="s">
        <v>570</v>
      </c>
      <c r="B27" s="755">
        <f t="shared" ca="1" si="2"/>
        <v>2.3167969159047823</v>
      </c>
      <c r="C27" s="456">
        <f t="shared" ca="1" si="3"/>
        <v>0</v>
      </c>
      <c r="D27" s="456">
        <f t="shared" si="4"/>
        <v>5.2357600641451265</v>
      </c>
      <c r="E27" s="456">
        <f t="shared" si="5"/>
        <v>56.645799893444845</v>
      </c>
      <c r="F27" s="456">
        <f t="shared" si="6"/>
        <v>0</v>
      </c>
      <c r="G27" s="456">
        <f t="shared" si="7"/>
        <v>20331.792395098251</v>
      </c>
      <c r="H27" s="456">
        <f t="shared" si="8"/>
        <v>3896.6178870362633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24292.608639008009</v>
      </c>
    </row>
    <row r="28" spans="1:17">
      <c r="A28" s="451" t="s">
        <v>560</v>
      </c>
      <c r="B28" s="452">
        <f t="shared" ca="1" si="2"/>
        <v>0</v>
      </c>
      <c r="C28" s="452">
        <f t="shared" ca="1" si="3"/>
        <v>0</v>
      </c>
      <c r="D28" s="452">
        <f t="shared" si="4"/>
        <v>0</v>
      </c>
      <c r="E28" s="452">
        <f t="shared" si="5"/>
        <v>0</v>
      </c>
      <c r="F28" s="452">
        <f t="shared" si="6"/>
        <v>0</v>
      </c>
      <c r="G28" s="452">
        <f t="shared" si="7"/>
        <v>274.03547176690034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274.03547176690034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218.53981221284363</v>
      </c>
      <c r="C32" s="452">
        <f t="shared" ca="1" si="3"/>
        <v>0</v>
      </c>
      <c r="D32" s="452">
        <f t="shared" si="4"/>
        <v>342.0806140173591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560.62042623020272</v>
      </c>
    </row>
    <row r="33" spans="1:17" s="461" customFormat="1">
      <c r="A33" s="1017" t="s">
        <v>564</v>
      </c>
      <c r="B33" s="957">
        <f ca="1">SUM(B22:B32)</f>
        <v>12997.786153481949</v>
      </c>
      <c r="C33" s="957">
        <f t="shared" ref="C33:Q33" ca="1" si="18">SUM(C22:C32)</f>
        <v>30.554621848739504</v>
      </c>
      <c r="D33" s="957">
        <f t="shared" ca="1" si="18"/>
        <v>12837.005337456012</v>
      </c>
      <c r="E33" s="957">
        <f t="shared" si="18"/>
        <v>6063.7232566631383</v>
      </c>
      <c r="F33" s="957">
        <f t="shared" ca="1" si="18"/>
        <v>29273.134792932073</v>
      </c>
      <c r="G33" s="957">
        <f t="shared" si="18"/>
        <v>20605.827866865151</v>
      </c>
      <c r="H33" s="957">
        <f t="shared" si="18"/>
        <v>3896.6178870362633</v>
      </c>
      <c r="I33" s="957">
        <f t="shared" si="18"/>
        <v>0</v>
      </c>
      <c r="J33" s="957">
        <f t="shared" si="18"/>
        <v>47.090362533152984</v>
      </c>
      <c r="K33" s="957">
        <f t="shared" si="18"/>
        <v>0</v>
      </c>
      <c r="L33" s="957">
        <f t="shared" ca="1" si="18"/>
        <v>0</v>
      </c>
      <c r="M33" s="957">
        <f t="shared" si="18"/>
        <v>0</v>
      </c>
      <c r="N33" s="957">
        <f t="shared" ca="1" si="18"/>
        <v>0</v>
      </c>
      <c r="O33" s="957">
        <f t="shared" si="18"/>
        <v>0</v>
      </c>
      <c r="P33" s="957">
        <f t="shared" si="18"/>
        <v>0</v>
      </c>
      <c r="Q33" s="957">
        <f t="shared" ca="1" si="18"/>
        <v>85751.740278816491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5983.1891211156526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90</v>
      </c>
      <c r="D8" s="1034">
        <f>'SEAP template'!D76</f>
        <v>105.88235294117648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21.388235294117649</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5983.1891211156526</v>
      </c>
      <c r="C10" s="1038">
        <f>SUM(C4:C9)</f>
        <v>90</v>
      </c>
      <c r="D10" s="1038">
        <f t="shared" ref="D10:H10" si="0">SUM(D8:D9)</f>
        <v>105.88235294117648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21.388235294117649</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0.20061432080587616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128.57142857142858</v>
      </c>
      <c r="D17" s="1035">
        <f>'SEAP template'!D87</f>
        <v>151.2605042016807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30.554621848739504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128.57142857142858</v>
      </c>
      <c r="D20" s="1038">
        <f t="shared" ref="D20:H20" si="2">SUM(D17:D19)</f>
        <v>151.2605042016807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30.554621848739504</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0.20061432080587616</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2020-06-20T16:06:20Z</dcterms:modified>
</cp:coreProperties>
</file>