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O33" i="48"/>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F16" i="14" l="1"/>
  <c r="F27" i="14" s="1"/>
  <c r="F63" i="14" s="1"/>
  <c r="J22" i="16"/>
  <c r="K43" i="14" s="1"/>
  <c r="K46" i="14" s="1"/>
  <c r="K61" i="14" s="1"/>
  <c r="K63" i="14" s="1"/>
  <c r="J8" i="48"/>
  <c r="K13" i="14"/>
  <c r="K16" i="14" s="1"/>
  <c r="K27" i="14" s="1"/>
  <c r="E8" i="48"/>
  <c r="E26" i="48" s="1"/>
  <c r="E33" i="48" s="1"/>
  <c r="F13" i="14"/>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<sst xmlns="http://schemas.openxmlformats.org/spreadsheetml/2006/main" count="2443" uniqueCount="920">
  <si>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</si>
  <si>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</si>
  <si>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</si>
  <si>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</si>
  <si>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</si>
  <si>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</si>
  <si>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</si>
  <si>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</si>
  <si>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</si>
  <si>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</si>
  <si>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</si>
  <si>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</si>
  <si>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</si>
  <si>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</si>
  <si>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</si>
  <si>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</si>
  <si>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</si>
  <si>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</si>
  <si>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</si>
  <si>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</si>
  <si>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</si>
  <si>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</si>
  <si>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</si>
  <si>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</si>
  <si>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</si>
  <si>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</si>
  <si>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</si>
  <si>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</si>
  <si>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</si>
  <si>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</si>
  <si>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</si>
  <si>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</si>
  <si>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</si>
  <si>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</si>
  <si>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</si>
  <si>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</si>
  <si>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</si>
  <si>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</si>
  <si>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</si>
  <si>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</si>
  <si>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</si>
  <si>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</si>
  <si>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</si>
  <si>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</si>
  <si>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</si>
  <si>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</si>
  <si>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</si>
  <si>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</si>
  <si>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</si>
  <si>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</si>
  <si>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</si>
  <si>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</si>
  <si>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</si>
  <si>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</si>
  <si>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</si>
  <si>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</si>
  <si>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</si>
  <si>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</si>
  <si>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</si>
  <si>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</si>
  <si>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</si>
  <si>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</si>
  <si>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</si>
  <si>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</si>
  <si>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</si>
  <si>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</si>
  <si>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</si>
  <si>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</si>
  <si>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</si>
  <si>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</si>
  <si>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</si>
  <si>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</si>
  <si>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</si>
  <si>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</si>
  <si>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</si>
  <si>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</si>
  <si>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</si>
  <si>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</si>
  <si>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</si>
  <si>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</si>
  <si>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</si>
  <si>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</si>
  <si>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</si>
  <si>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</si>
  <si>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</si>
  <si>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</si>
  <si>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</si>
  <si>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</si>
  <si>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</si>
  <si>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</si>
  <si>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</si>
  <si>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</si>
  <si>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</si>
  <si>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</si>
  <si>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</si>
  <si>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</si>
  <si>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</si>
  <si>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</si>
  <si>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</si>
  <si>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</si>
  <si>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</si>
  <si>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</si>
  <si>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</si>
  <si>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</si>
  <si>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</si>
  <si>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</si>
  <si>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</si>
  <si>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</si>
  <si>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</si>
  <si>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</si>
  <si>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</si>
  <si>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</si>
  <si>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</si>
  <si>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</si>
  <si>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</si>
  <si>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</si>
  <si>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</si>
  <si>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</si>
  <si>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</si>
  <si>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</si>
  <si>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</si>
  <si>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</si>
  <si>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</si>
  <si>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</si>
  <si>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</si>
  <si>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</si>
  <si>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</si>
  <si>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</si>
  <si>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</si>
  <si>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</si>
  <si>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</si>
  <si>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</si>
  <si>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</si>
  <si>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</si>
  <si>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</si>
  <si>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</si>
  <si>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</si>
  <si>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</si>
  <si>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</si>
  <si>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</si>
  <si>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</si>
  <si>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</si>
  <si>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</si>
  <si>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</si>
  <si>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</si>
  <si>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</si>
  <si>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</si>
  <si>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</si>
  <si>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</si>
  <si>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</si>
  <si>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</si>
  <si>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</si>
  <si>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</si>
  <si>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</si>
  <si>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</si>
  <si>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</si>
  <si>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</si>
  <si>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</si>
  <si>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</si>
  <si>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</si>
  <si>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</si>
  <si>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</si>
  <si>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</si>
  <si>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</si>
  <si>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</si>
  <si>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</si>
  <si>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</si>
  <si>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</si>
  <si>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</si>
  <si>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</si>
  <si>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</si>
  <si>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</si>
  <si>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</si>
  <si>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</si>
  <si>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</si>
  <si>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</si>
  <si>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</si>
  <si>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</si>
  <si>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</si>
  <si>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</si>
  <si>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</si>
  <si>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</si>
  <si>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</si>
  <si>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</si>
  <si>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</si>
  <si>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</si>
  <si>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</si>
  <si>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</si>
  <si>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</si>
  <si>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</si>
  <si>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</si>
  <si>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</si>
  <si>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</si>
  <si>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</si>
  <si>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</si>
  <si>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</si>
  <si>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</si>
  <si>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</si>
  <si>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</si>
  <si>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</si>
  <si>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</si>
  <si>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</si>
  <si>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</si>
  <si>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</si>
  <si>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</si>
  <si>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</si>
  <si>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</si>
  <si>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</si>
  <si>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</si>
  <si>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</si>
  <si>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</si>
  <si>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</si>
  <si>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</si>
  <si>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</si>
  <si>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</si>
  <si>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</si>
  <si>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</si>
  <si>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</si>
  <si>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</si>
  <si>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</si>
  <si>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</si>
  <si>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</si>
  <si>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</si>
  <si>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</si>
  <si>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</si>
  <si>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</si>
  <si>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</si>
  <si>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</si>
  <si>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</si>
  <si>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</si>
  <si>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</si>
  <si>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</si>
  <si>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</si>
  <si>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</si>
  <si>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</si>
  <si>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</si>
  <si>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</si>
  <si>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</si>
  <si>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</si>
  <si>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</si>
  <si>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</si>
  <si>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</si>
  <si>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</si>
  <si>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</si>
  <si>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</si>
  <si>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</si>
  <si>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</si>
  <si>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</si>
  <si>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</si>
  <si>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</si>
  <si>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</si>
  <si>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</si>
  <si>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</si>
  <si>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</si>
  <si>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</si>
  <si>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</si>
  <si>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</si>
  <si>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</si>
  <si>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</si>
  <si>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</si>
  <si>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</si>
  <si>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</si>
  <si>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</si>
  <si>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</si>
  <si>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</si>
  <si>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</si>
  <si>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</si>
  <si>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</si>
  <si>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</si>
  <si>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</si>
  <si>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</si>
  <si>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</si>
  <si>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</si>
  <si>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</si>
  <si>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</si>
  <si>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</si>
  <si>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</si>
  <si>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</si>
  <si>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</si>
  <si>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</si>
  <si>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</si>
  <si>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</si>
  <si>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</si>
  <si>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</si>
  <si>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</si>
  <si>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</si>
  <si>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</si>
  <si>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</si>
  <si>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</si>
  <si>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</si>
  <si>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</si>
  <si>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</si>
  <si>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</si>
  <si>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</si>
  <si>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</si>
  <si>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</si>
  <si>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</si>
  <si>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</si>
  <si>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</si>
  <si>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</si>
  <si>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</si>
  <si>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</si>
  <si>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</si>
  <si>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</si>
  <si>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</si>
  <si>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</si>
  <si>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</si>
  <si>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</si>
  <si>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</si>
  <si>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</si>
  <si>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</si>
  <si>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</si>
  <si>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</si>
  <si>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</si>
  <si>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</si>
  <si>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</si>
  <si>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</si>
  <si>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</si>
  <si>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</si>
  <si>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</si>
  <si>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</si>
  <si>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</si>
  <si>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</si>
  <si>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</si>
  <si>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</si>
  <si>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</si>
  <si>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</si>
  <si>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</si>
  <si>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</si>
  <si>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</si>
  <si>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</si>
  <si>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</si>
  <si>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</si>
  <si>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</si>
  <si>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</si>
  <si>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</si>
  <si>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</si>
  <si>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</si>
  <si>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</si>
  <si>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</si>
  <si>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</si>
  <si>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</si>
  <si>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</si>
  <si>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</si>
  <si>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</si>
  <si>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</si>
  <si>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</si>
  <si>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</si>
  <si>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</si>
  <si>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</si>
  <si>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</si>
  <si>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</si>
  <si>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</si>
  <si>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</si>
  <si>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</si>
  <si>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</si>
  <si>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</si>
  <si>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</si>
  <si>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</si>
  <si>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</si>
  <si>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</si>
  <si>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</si>
  <si>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</si>
  <si>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</si>
  <si>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</si>
  <si>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</si>
  <si>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</si>
  <si>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</si>
  <si>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</si>
  <si>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</si>
  <si>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</si>
  <si>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</si>
  <si>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</si>
  <si>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</si>
  <si>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</si>
  <si>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</si>
  <si>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</si>
  <si>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</si>
  <si>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</si>
  <si>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</si>
  <si>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</si>
  <si>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</si>
  <si>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</si>
  <si>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</si>
  <si>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</si>
  <si>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</si>
  <si>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</si>
  <si>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</si>
  <si>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</si>
  <si>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</si>
  <si>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</si>
  <si>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</si>
  <si>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</si>
  <si>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</si>
  <si>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</si>
  <si>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</si>
  <si>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</si>
  <si>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</si>
  <si>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</si>
  <si>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</si>
  <si>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</si>
  <si>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</si>
  <si>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</si>
  <si>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</si>
  <si>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</si>
  <si>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</si>
  <si>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</si>
  <si>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</si>
  <si>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</si>
  <si>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</si>
  <si>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</si>
  <si>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</si>
  <si>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</si>
  <si>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</si>
  <si>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</si>
  <si>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</si>
  <si>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</si>
  <si>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</si>
  <si>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</si>
  <si>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</si>
  <si>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</si>
  <si>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</si>
  <si>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</si>
  <si>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</si>
  <si>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</si>
  <si>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</si>
  <si>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</si>
  <si>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</si>
  <si>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</si>
  <si>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</si>
  <si>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</si>
  <si>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</si>
  <si>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</si>
  <si>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</si>
  <si>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</si>
  <si>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</si>
  <si>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</si>
  <si>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</si>
  <si>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</si>
  <si>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</si>
  <si>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</si>
  <si>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</si>
  <si>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</si>
  <si>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</si>
  <si>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</si>
  <si>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</si>
  <si>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</si>
  <si>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</si>
  <si>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</si>
  <si>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</si>
  <si>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</si>
  <si>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</si>
  <si>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</si>
  <si>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</si>
  <si>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</si>
  <si>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</si>
  <si>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</si>
  <si>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</si>
  <si>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</si>
  <si>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</si>
  <si>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</si>
  <si>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</si>
  <si>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</si>
  <si>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</si>
  <si>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</si>
  <si>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</si>
  <si>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</si>
  <si>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</si>
  <si>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</si>
  <si>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</si>
  <si>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</si>
  <si>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</si>
  <si>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</si>
  <si>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</si>
  <si>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</si>
  <si>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</si>
  <si>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</si>
  <si>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</si>
  <si>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</si>
  <si>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</si>
  <si>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</si>
  <si>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</si>
  <si>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</si>
  <si>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</si>
  <si>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</si>
  <si>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</si>
  <si>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</si>
  <si>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</si>
  <si>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</si>
  <si>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</si>
  <si>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</si>
  <si>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</si>
  <si>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</si>
  <si>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</si>
  <si>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</si>
  <si>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</si>
  <si>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</si>
  <si>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</si>
  <si>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</si>
  <si>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</si>
  <si>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</si>
  <si>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</si>
  <si>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</si>
  <si>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</si>
  <si>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</si>
  <si>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</si>
  <si>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</si>
  <si>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</si>
  <si>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</si>
  <si>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</si>
  <si>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</si>
  <si>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</si>
  <si>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</si>
  <si>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</si>
  <si>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</si>
  <si>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</si>
  <si>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</si>
  <si>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</si>
  <si>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</si>
  <si>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</si>
  <si>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</si>
  <si>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</si>
  <si>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</si>
  <si>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</si>
  <si>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</si>
  <si>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</si>
  <si>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</si>
  <si>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</si>
  <si>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</si>
  <si>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</si>
  <si>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</si>
  <si>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</si>
  <si>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</si>
  <si>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</si>
  <si>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</si>
  <si>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</si>
  <si>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</si>
  <si>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</si>
  <si>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</si>
  <si>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</si>
  <si>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</si>
  <si>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</si>
  <si>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</si>
  <si>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</si>
  <si>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</si>
  <si>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</si>
  <si>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</si>
  <si>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</si>
  <si>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</si>
  <si>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</si>
  <si>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</si>
  <si>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</si>
  <si>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</si>
  <si>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</si>
  <si>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</si>
  <si>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</si>
  <si>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</si>
  <si>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</si>
  <si>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</si>
  <si>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</si>
  <si>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</si>
  <si>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</si>
  <si>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</si>
  <si>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</si>
  <si>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</si>
  <si>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</si>
  <si>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</si>
  <si>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</si>
  <si>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</si>
  <si>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</si>
  <si>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</si>
  <si>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</si>
  <si>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</si>
  <si>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</si>
  <si>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</si>
  <si>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</si>
  <si>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</si>
  <si>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</si>
  <si>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</si>
  <si>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</si>
  <si>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</si>
  <si>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</si>
  <si>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</si>
  <si>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</si>
  <si>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</si>
  <si>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</si>
  <si>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</si>
  <si>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</si>
  <si>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</si>
  <si>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</si>
  <si>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</si>
  <si>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</si>
  <si>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</si>
  <si>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</si>
  <si>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</si>
  <si>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</si>
  <si>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</si>
  <si>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</si>
  <si>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</si>
  <si>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</si>
  <si>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</si>
  <si>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</si>
  <si>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</si>
  <si>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</si>
  <si>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</si>
  <si>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</si>
  <si>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</si>
  <si>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</si>
  <si>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</si>
  <si>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</si>
  <si>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</si>
  <si>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</si>
  <si>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</si>
  <si>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</si>
  <si>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</si>
  <si>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</si>
  <si>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</si>
  <si>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</si>
  <si>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</si>
  <si>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</si>
  <si>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</si>
  <si>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</si>
  <si>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</si>
  <si>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</si>
  <si>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</si>
  <si>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</si>
  <si>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</si>
  <si>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</si>
  <si>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</si>
  <si>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</si>
  <si>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</si>
  <si>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</si>
  <si>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</si>
  <si>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</si>
  <si>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</si>
  <si>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</si>
  <si>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</si>
  <si>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</si>
  <si>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</si>
  <si>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</si>
  <si>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</si>
  <si>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</si>
  <si>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</si>
  <si>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</si>
  <si>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</si>
  <si>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</si>
  <si>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</si>
  <si>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</si>
  <si>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</si>
  <si>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</si>
  <si>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</si>
  <si>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</si>
  <si>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</si>
  <si>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</si>
  <si>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</si>
  <si>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</si>
  <si>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</si>
  <si>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</si>
  <si>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</si>
  <si>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</si>
  <si>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</si>
  <si>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</si>
  <si>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</si>
  <si>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</si>
  <si>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</si>
  <si>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</si>
  <si>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</si>
  <si>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</si>
  <si>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</si>
  <si>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</si>
  <si>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</si>
  <si>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</si>
  <si>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</si>
  <si>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</si>
  <si>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</si>
  <si>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</si>
  <si>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</si>
  <si>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</si>
  <si>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</si>
  <si>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</si>
  <si>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</si>
  <si>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</si>
  <si>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</si>
  <si>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</si>
  <si>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</si>
  <si>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</si>
  <si>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</si>
  <si>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</si>
  <si>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</si>
  <si>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</si>
  <si>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</si>
  <si>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</si>
  <si>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</si>
  <si>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</si>
  <si>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</si>
  <si>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</si>
  <si>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</si>
  <si>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</si>
  <si>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</si>
  <si>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</si>
  <si>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</si>
  <si>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</si>
  <si>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</si>
  <si>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</si>
  <si>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</si>
  <si>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</si>
  <si>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</si>
  <si>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</si>
  <si>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</si>
  <si>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</si>
  <si>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</si>
  <si>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</si>
  <si>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</si>
  <si>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</si>
  <si>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</si>
  <si>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</si>
  <si>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</si>
  <si>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</si>
  <si>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</si>
  <si>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</si>
  <si>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</si>
  <si>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</si>
  <si>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</si>
  <si>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</si>
  <si>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</si>
  <si>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</si>
  <si>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</si>
  <si>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</si>
  <si>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</si>
  <si>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</si>
  <si>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</si>
  <si>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</si>
  <si>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</si>
  <si>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</si>
  <si>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</si>
  <si>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</si>
  <si>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</si>
  <si>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</si>
  <si>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</si>
  <si>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</si>
  <si>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</si>
  <si>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</si>
  <si>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</si>
  <si>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</si>
  <si>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</si>
  <si>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</si>
  <si>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</si>
  <si>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</si>
  <si>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</si>
  <si>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</si>
  <si>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</si>
  <si>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</si>
  <si>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</si>
  <si>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</si>
  <si>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</si>
  <si>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</si>
  <si>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</si>
  <si>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</si>
  <si>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</si>
  <si>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</si>
  <si>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</si>
  <si>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</si>
  <si>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</si>
  <si>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</si>
  <si>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</si>
  <si>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</si>
  <si>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</si>
  <si>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</si>
  <si>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</si>
  <si>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</si>
  <si>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</si>
  <si>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</si>
  <si>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</si>
  <si>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</si>
  <si>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</si>
  <si>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</si>
  <si>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</si>
  <si>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</si>
  <si>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</si>
  <si>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</si>
  <si>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</si>
  <si>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</si>
  <si>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</si>
  <si>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</si>
  <si>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</si>
  <si>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</si>
  <si>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</si>
  <si>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</si>
  <si>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</si>
  <si>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</si>
  <si>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</si>
  <si>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</si>
  <si>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</si>
  <si>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</si>
  <si>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</si>
  <si>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</si>
  <si>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</si>
  <si>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</si>
  <si>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</si>
  <si>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</si>
  <si>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</si>
  <si>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</si>
  <si>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</si>
  <si>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</si>
  <si>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</si>
  <si>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</si>
  <si>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</si>
  <si>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</si>
  <si>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</si>
  <si>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</si>
  <si>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</si>
  <si>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</si>
  <si>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</si>
  <si>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</si>
  <si>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</si>
  <si>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</si>
  <si>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</si>
  <si>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</si>
  <si>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</si>
  <si>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</si>
  <si>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</si>
  <si>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</si>
  <si>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</si>
  <si>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</si>
  <si>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</si>
  <si>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</si>
  <si>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</si>
  <si>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</si>
  <si>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</si>
  <si>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</si>
  <si>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</si>
  <si>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</si>
  <si>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</si>
  <si>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</si>
  <si>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</si>
  <si>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</si>
  <si>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</si>
  <si>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</si>
  <si>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</si>
  <si>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</si>
  <si>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</si>
  <si>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</si>
  <si>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</si>
  <si>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</si>
  <si>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</si>
  <si>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</si>
  <si>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</si>
  <si>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</si>
  <si>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</si>
  <si>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</si>
  <si>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</si>
  <si>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</si>
  <si>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</si>
  <si>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</si>
  <si>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</si>
  <si>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</si>
  <si>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</si>
  <si>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</si>
  <si>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</si>
  <si>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</si>
  <si>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</si>
  <si>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</si>
  <si>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</si>
  <si>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</si>
  <si>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</si>
  <si>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</si>
  <si>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</si>
  <si>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</si>
  <si>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</si>
  <si>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</si>
  <si>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</si>
  <si>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</si>
  <si>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</si>
  <si>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</si>
  <si>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</si>
  <si>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</si>
  <si>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</si>
  <si>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</si>
  <si>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</si>
  <si>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</si>
  <si>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</si>
  <si>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</si>
  <si>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</si>
  <si>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</si>
  <si>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</si>
  <si>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</si>
  <si>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</si>
  <si>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</si>
  <si>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</si>
  <si>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</si>
  <si>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</si>
  <si>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</si>
  <si>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</si>
  <si>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</si>
  <si>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</si>
  <si>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</si>
  <si>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</si>
  <si>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</si>
  <si>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</si>
  <si>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</si>
  <si>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</si>
  <si>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</si>
  <si>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</si>
  <si>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</si>
  <si>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</si>
  <si>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</si>
  <si>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</si>
  <si>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24066</t>
  </si>
  <si>
    <t>LUBBEEK</t>
  </si>
  <si>
    <t>Paarden&amp;pony's 200 - 600 kg</t>
  </si>
  <si>
    <t>Paarden&amp;pony's &lt; 200 kg</t>
  </si>
  <si>
    <t>Fluvius</t>
  </si>
  <si>
    <t>referentietaak LNE (2017); Jaarverslag De Lijn</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</si>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</sst>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132032.69191098853</c:v>
                </c:pt>
                <c:pt idx="1">
                  <c:v>23057.718633562858</c:v>
                </c:pt>
                <c:pt idx="2">
                  <c:v>882.46500000000003</c:v>
                </c:pt>
                <c:pt idx="3">
                  <c:v>2730.7797986513788</c:v>
                </c:pt>
                <c:pt idx="4">
                  <c:v>3148.6022197618208</c:v>
                </c:pt>
                <c:pt idx="5">
                  <c:v>82412.671506324899</c:v>
                </c:pt>
                <c:pt idx="6">
                  <c:v>3813.4427963147928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132032.69191098853</c:v>
                </c:pt>
                <c:pt idx="1">
                  <c:v>23057.718633562858</c:v>
                </c:pt>
                <c:pt idx="2">
                  <c:v>882.46500000000003</c:v>
                </c:pt>
                <c:pt idx="3">
                  <c:v>2730.7797986513788</c:v>
                </c:pt>
                <c:pt idx="4">
                  <c:v>3148.6022197618208</c:v>
                </c:pt>
                <c:pt idx="5">
                  <c:v>82412.671506324899</c:v>
                </c:pt>
                <c:pt idx="6">
                  <c:v>3813.4427963147928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28757.228864371471</c:v>
                </c:pt>
                <c:pt idx="2">
                  <c:v>4631.1423092078967</c:v>
                </c:pt>
                <c:pt idx="3">
                  <c:v>169.71097530930828</c:v>
                </c:pt>
                <c:pt idx="4">
                  <c:v>678.45050433934171</c:v>
                </c:pt>
                <c:pt idx="5">
                  <c:v>652.17911090790551</c:v>
                </c:pt>
                <c:pt idx="6">
                  <c:v>20656.84639267937</c:v>
                </c:pt>
                <c:pt idx="7">
                  <c:v>963.13912570491243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28757.228864371471</c:v>
                </c:pt>
                <c:pt idx="2">
                  <c:v>4631.1423092078967</c:v>
                </c:pt>
                <c:pt idx="3">
                  <c:v>169.71097530930828</c:v>
                </c:pt>
                <c:pt idx="4">
                  <c:v>678.45050433934171</c:v>
                </c:pt>
                <c:pt idx="5">
                  <c:v>652.17911090790551</c:v>
                </c:pt>
                <c:pt idx="6">
                  <c:v>20656.84639267937</c:v>
                </c:pt>
                <c:pt idx="7">
                  <c:v>963.13912570491243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24066</v>
      </c>
      <c r="B6" s="391"/>
      <c r="C6" s="392"/>
    </row>
    <row r="7" spans="1:7" s="389" customFormat="1" ht="15.75" customHeight="1">
      <c r="A7" s="393" t="str">
        <f>txtMunicipality</f>
        <v>LUBBEEK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0.19231468138601335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0.19231468138601335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5501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2279</v>
      </c>
      <c r="C14" s="330"/>
      <c r="D14" s="330"/>
      <c r="E14" s="330"/>
      <c r="F14" s="330"/>
    </row>
    <row r="15" spans="1:6">
      <c r="A15" s="1305" t="s">
        <v>183</v>
      </c>
      <c r="B15" s="1306">
        <v>461</v>
      </c>
      <c r="C15" s="330"/>
      <c r="D15" s="330"/>
      <c r="E15" s="330"/>
      <c r="F15" s="330"/>
    </row>
    <row r="16" spans="1:6">
      <c r="A16" s="1305" t="s">
        <v>6</v>
      </c>
      <c r="B16" s="1306">
        <v>501</v>
      </c>
      <c r="C16" s="330"/>
      <c r="D16" s="330"/>
      <c r="E16" s="330"/>
      <c r="F16" s="330"/>
    </row>
    <row r="17" spans="1:6">
      <c r="A17" s="1305" t="s">
        <v>7</v>
      </c>
      <c r="B17" s="1306">
        <v>309</v>
      </c>
      <c r="C17" s="330"/>
      <c r="D17" s="330"/>
      <c r="E17" s="330"/>
      <c r="F17" s="330"/>
    </row>
    <row r="18" spans="1:6">
      <c r="A18" s="1305" t="s">
        <v>8</v>
      </c>
      <c r="B18" s="1306">
        <v>575</v>
      </c>
      <c r="C18" s="330"/>
      <c r="D18" s="330"/>
      <c r="E18" s="330"/>
      <c r="F18" s="330"/>
    </row>
    <row r="19" spans="1:6">
      <c r="A19" s="1305" t="s">
        <v>9</v>
      </c>
      <c r="B19" s="1306">
        <v>579</v>
      </c>
      <c r="C19" s="330"/>
      <c r="D19" s="330"/>
      <c r="E19" s="330"/>
      <c r="F19" s="330"/>
    </row>
    <row r="20" spans="1:6">
      <c r="A20" s="1305" t="s">
        <v>10</v>
      </c>
      <c r="B20" s="1306">
        <v>388</v>
      </c>
      <c r="C20" s="330"/>
      <c r="D20" s="330"/>
      <c r="E20" s="330"/>
      <c r="F20" s="330"/>
    </row>
    <row r="21" spans="1:6">
      <c r="A21" s="1305" t="s">
        <v>11</v>
      </c>
      <c r="B21" s="1306">
        <v>980</v>
      </c>
      <c r="C21" s="330"/>
      <c r="D21" s="330"/>
      <c r="E21" s="330"/>
      <c r="F21" s="330"/>
    </row>
    <row r="22" spans="1:6">
      <c r="A22" s="1305" t="s">
        <v>12</v>
      </c>
      <c r="B22" s="1306">
        <v>2280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311</v>
      </c>
      <c r="C26" s="330"/>
      <c r="D26" s="330"/>
      <c r="E26" s="330"/>
      <c r="F26" s="330"/>
    </row>
    <row r="27" spans="1:6">
      <c r="A27" s="1305" t="s">
        <v>17</v>
      </c>
      <c r="B27" s="1306">
        <v>6</v>
      </c>
      <c r="C27" s="330"/>
      <c r="D27" s="330"/>
      <c r="E27" s="330"/>
      <c r="F27" s="330"/>
    </row>
    <row r="28" spans="1:6" s="43" customFormat="1">
      <c r="A28" s="1307" t="s">
        <v>18</v>
      </c>
      <c r="B28" s="1308">
        <v>0</v>
      </c>
      <c r="C28" s="336"/>
      <c r="D28" s="336"/>
      <c r="E28" s="336"/>
      <c r="F28" s="336"/>
    </row>
    <row r="29" spans="1:6">
      <c r="A29" s="1307" t="s">
        <v>909</v>
      </c>
      <c r="B29" s="1308">
        <v>293</v>
      </c>
      <c r="C29" s="336"/>
      <c r="D29" s="336"/>
      <c r="E29" s="336"/>
      <c r="F29" s="336"/>
    </row>
    <row r="30" spans="1:6">
      <c r="A30" s="1300" t="s">
        <v>910</v>
      </c>
      <c r="B30" s="1309">
        <v>51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28</v>
      </c>
      <c r="F36" s="1306">
        <v>2815666</v>
      </c>
    </row>
    <row r="37" spans="1:6">
      <c r="A37" s="1305" t="s">
        <v>24</v>
      </c>
      <c r="B37" s="1305" t="s">
        <v>27</v>
      </c>
      <c r="C37" s="1306">
        <v>0</v>
      </c>
      <c r="D37" s="1306">
        <v>0</v>
      </c>
      <c r="E37" s="1306">
        <v>0</v>
      </c>
      <c r="F37" s="1306">
        <v>0</v>
      </c>
    </row>
    <row r="38" spans="1:6">
      <c r="A38" s="1305" t="s">
        <v>24</v>
      </c>
      <c r="B38" s="1305" t="s">
        <v>28</v>
      </c>
      <c r="C38" s="1306">
        <v>2</v>
      </c>
      <c r="D38" s="1306">
        <v>724905</v>
      </c>
      <c r="E38" s="1306">
        <v>2</v>
      </c>
      <c r="F38" s="1306">
        <v>36590</v>
      </c>
    </row>
    <row r="39" spans="1:6">
      <c r="A39" s="1305" t="s">
        <v>29</v>
      </c>
      <c r="B39" s="1305" t="s">
        <v>30</v>
      </c>
      <c r="C39" s="1306">
        <v>1883</v>
      </c>
      <c r="D39" s="1306">
        <v>33652028</v>
      </c>
      <c r="E39" s="1306">
        <v>5344</v>
      </c>
      <c r="F39" s="1306">
        <v>23294236</v>
      </c>
    </row>
    <row r="40" spans="1:6">
      <c r="A40" s="1305" t="s">
        <v>29</v>
      </c>
      <c r="B40" s="1305" t="s">
        <v>28</v>
      </c>
      <c r="C40" s="1306">
        <v>0</v>
      </c>
      <c r="D40" s="1306">
        <v>0</v>
      </c>
      <c r="E40" s="1306">
        <v>0</v>
      </c>
      <c r="F40" s="1306">
        <v>0</v>
      </c>
    </row>
    <row r="41" spans="1:6">
      <c r="A41" s="1305" t="s">
        <v>31</v>
      </c>
      <c r="B41" s="1305" t="s">
        <v>32</v>
      </c>
      <c r="C41" s="1306">
        <v>25</v>
      </c>
      <c r="D41" s="1306">
        <v>569803</v>
      </c>
      <c r="E41" s="1306">
        <v>82</v>
      </c>
      <c r="F41" s="1306">
        <v>529529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33771</v>
      </c>
    </row>
    <row r="45" spans="1:6">
      <c r="A45" s="1305" t="s">
        <v>31</v>
      </c>
      <c r="B45" s="1305" t="s">
        <v>36</v>
      </c>
      <c r="C45" s="1306">
        <v>0</v>
      </c>
      <c r="D45" s="1306">
        <v>0</v>
      </c>
      <c r="E45" s="1306">
        <v>4</v>
      </c>
      <c r="F45" s="1306">
        <v>458569</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v>
      </c>
      <c r="D48" s="1306">
        <v>131750</v>
      </c>
      <c r="E48" s="1306">
        <v>2</v>
      </c>
      <c r="F48" s="1306">
        <v>30351</v>
      </c>
    </row>
    <row r="49" spans="1:6">
      <c r="A49" s="1305" t="s">
        <v>31</v>
      </c>
      <c r="B49" s="1305" t="s">
        <v>39</v>
      </c>
      <c r="C49" s="1306">
        <v>0</v>
      </c>
      <c r="D49" s="1306">
        <v>0</v>
      </c>
      <c r="E49" s="1306">
        <v>0</v>
      </c>
      <c r="F49" s="1306">
        <v>0</v>
      </c>
    </row>
    <row r="50" spans="1:6">
      <c r="A50" s="1305" t="s">
        <v>31</v>
      </c>
      <c r="B50" s="1305" t="s">
        <v>40</v>
      </c>
      <c r="C50" s="1306">
        <v>3</v>
      </c>
      <c r="D50" s="1306">
        <v>27542</v>
      </c>
      <c r="E50" s="1306">
        <v>9</v>
      </c>
      <c r="F50" s="1306">
        <v>230187</v>
      </c>
    </row>
    <row r="51" spans="1:6">
      <c r="A51" s="1305" t="s">
        <v>41</v>
      </c>
      <c r="B51" s="1305" t="s">
        <v>42</v>
      </c>
      <c r="C51" s="1306">
        <v>6</v>
      </c>
      <c r="D51" s="1306">
        <v>117341</v>
      </c>
      <c r="E51" s="1306">
        <v>74</v>
      </c>
      <c r="F51" s="1306">
        <v>709488</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v>
      </c>
      <c r="F54" s="1306">
        <v>882465</v>
      </c>
    </row>
    <row r="55" spans="1:6">
      <c r="A55" s="1305" t="s">
        <v>45</v>
      </c>
      <c r="B55" s="1305" t="s">
        <v>28</v>
      </c>
      <c r="C55" s="1306">
        <v>0</v>
      </c>
      <c r="D55" s="1306">
        <v>0</v>
      </c>
      <c r="E55" s="1306">
        <v>0</v>
      </c>
      <c r="F55" s="1306">
        <v>0</v>
      </c>
    </row>
    <row r="56" spans="1:6">
      <c r="A56" s="1305" t="s">
        <v>47</v>
      </c>
      <c r="B56" s="1305" t="s">
        <v>28</v>
      </c>
      <c r="C56" s="1306">
        <v>31</v>
      </c>
      <c r="D56" s="1306">
        <v>791624</v>
      </c>
      <c r="E56" s="1306">
        <v>113</v>
      </c>
      <c r="F56" s="1306">
        <v>1145047</v>
      </c>
    </row>
    <row r="57" spans="1:6">
      <c r="A57" s="1305" t="s">
        <v>48</v>
      </c>
      <c r="B57" s="1305" t="s">
        <v>49</v>
      </c>
      <c r="C57" s="1306">
        <v>12</v>
      </c>
      <c r="D57" s="1306">
        <v>367655</v>
      </c>
      <c r="E57" s="1306">
        <v>64</v>
      </c>
      <c r="F57" s="1306">
        <v>587611</v>
      </c>
    </row>
    <row r="58" spans="1:6">
      <c r="A58" s="1305" t="s">
        <v>48</v>
      </c>
      <c r="B58" s="1305" t="s">
        <v>50</v>
      </c>
      <c r="C58" s="1306">
        <v>11</v>
      </c>
      <c r="D58" s="1306">
        <v>1083567</v>
      </c>
      <c r="E58" s="1306">
        <v>27</v>
      </c>
      <c r="F58" s="1306">
        <v>4414044</v>
      </c>
    </row>
    <row r="59" spans="1:6">
      <c r="A59" s="1305" t="s">
        <v>48</v>
      </c>
      <c r="B59" s="1305" t="s">
        <v>51</v>
      </c>
      <c r="C59" s="1306">
        <v>44</v>
      </c>
      <c r="D59" s="1306">
        <v>1953119</v>
      </c>
      <c r="E59" s="1306">
        <v>154</v>
      </c>
      <c r="F59" s="1306">
        <v>4141401</v>
      </c>
    </row>
    <row r="60" spans="1:6">
      <c r="A60" s="1305" t="s">
        <v>48</v>
      </c>
      <c r="B60" s="1305" t="s">
        <v>52</v>
      </c>
      <c r="C60" s="1306">
        <v>18</v>
      </c>
      <c r="D60" s="1306">
        <v>608362</v>
      </c>
      <c r="E60" s="1306">
        <v>40</v>
      </c>
      <c r="F60" s="1306">
        <v>903336</v>
      </c>
    </row>
    <row r="61" spans="1:6">
      <c r="A61" s="1305" t="s">
        <v>48</v>
      </c>
      <c r="B61" s="1305" t="s">
        <v>53</v>
      </c>
      <c r="C61" s="1306">
        <v>84</v>
      </c>
      <c r="D61" s="1306">
        <v>4228104</v>
      </c>
      <c r="E61" s="1306">
        <v>280</v>
      </c>
      <c r="F61" s="1306">
        <v>2719643</v>
      </c>
    </row>
    <row r="62" spans="1:6">
      <c r="A62" s="1305" t="s">
        <v>48</v>
      </c>
      <c r="B62" s="1305" t="s">
        <v>54</v>
      </c>
      <c r="C62" s="1306">
        <v>3</v>
      </c>
      <c r="D62" s="1306">
        <v>147268</v>
      </c>
      <c r="E62" s="1306">
        <v>6</v>
      </c>
      <c r="F62" s="1306">
        <v>52775</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6383</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13</v>
      </c>
      <c r="F68" s="1309">
        <v>82767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57394871</v>
      </c>
      <c r="E73" s="450"/>
      <c r="F73" s="330"/>
    </row>
    <row r="74" spans="1:6">
      <c r="A74" s="1305" t="s">
        <v>63</v>
      </c>
      <c r="B74" s="1305" t="s">
        <v>710</v>
      </c>
      <c r="C74" s="1319" t="s">
        <v>712</v>
      </c>
      <c r="D74" s="1320">
        <v>6503308.7842289181</v>
      </c>
      <c r="E74" s="450"/>
      <c r="F74" s="330"/>
    </row>
    <row r="75" spans="1:6">
      <c r="A75" s="1305" t="s">
        <v>64</v>
      </c>
      <c r="B75" s="1305" t="s">
        <v>709</v>
      </c>
      <c r="C75" s="1319" t="s">
        <v>713</v>
      </c>
      <c r="D75" s="1320">
        <v>26338974</v>
      </c>
      <c r="E75" s="450"/>
      <c r="F75" s="330"/>
    </row>
    <row r="76" spans="1:6">
      <c r="A76" s="1305" t="s">
        <v>64</v>
      </c>
      <c r="B76" s="1305" t="s">
        <v>710</v>
      </c>
      <c r="C76" s="1319" t="s">
        <v>714</v>
      </c>
      <c r="D76" s="1320">
        <v>1516078.7842289181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1023910.4315421636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3562.4160859743602</v>
      </c>
      <c r="C91" s="330"/>
      <c r="D91" s="330"/>
      <c r="E91" s="330"/>
      <c r="F91" s="330"/>
    </row>
    <row r="92" spans="1:6">
      <c r="A92" s="1300" t="s">
        <v>68</v>
      </c>
      <c r="B92" s="1301">
        <v>1401.5327491597634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508</v>
      </c>
      <c r="C97" s="330"/>
      <c r="D97" s="330"/>
      <c r="E97" s="330"/>
      <c r="F97" s="330"/>
    </row>
    <row r="98" spans="1:6">
      <c r="A98" s="1305" t="s">
        <v>71</v>
      </c>
      <c r="B98" s="1306">
        <v>0</v>
      </c>
      <c r="C98" s="330"/>
      <c r="D98" s="330"/>
      <c r="E98" s="330"/>
      <c r="F98" s="330"/>
    </row>
    <row r="99" spans="1:6">
      <c r="A99" s="1305" t="s">
        <v>72</v>
      </c>
      <c r="B99" s="1306">
        <v>84</v>
      </c>
      <c r="C99" s="330"/>
      <c r="D99" s="330"/>
      <c r="E99" s="330"/>
      <c r="F99" s="330"/>
    </row>
    <row r="100" spans="1:6">
      <c r="A100" s="1305" t="s">
        <v>73</v>
      </c>
      <c r="B100" s="1306">
        <v>438</v>
      </c>
      <c r="C100" s="330"/>
      <c r="D100" s="330"/>
      <c r="E100" s="330"/>
      <c r="F100" s="330"/>
    </row>
    <row r="101" spans="1:6">
      <c r="A101" s="1305" t="s">
        <v>74</v>
      </c>
      <c r="B101" s="1306">
        <v>54</v>
      </c>
      <c r="C101" s="330"/>
      <c r="D101" s="330"/>
      <c r="E101" s="330"/>
      <c r="F101" s="330"/>
    </row>
    <row r="102" spans="1:6">
      <c r="A102" s="1305" t="s">
        <v>75</v>
      </c>
      <c r="B102" s="1306">
        <v>49</v>
      </c>
      <c r="C102" s="330"/>
      <c r="D102" s="330"/>
      <c r="E102" s="330"/>
      <c r="F102" s="330"/>
    </row>
    <row r="103" spans="1:6">
      <c r="A103" s="1305" t="s">
        <v>76</v>
      </c>
      <c r="B103" s="1306">
        <v>114</v>
      </c>
      <c r="C103" s="330"/>
      <c r="D103" s="330"/>
      <c r="E103" s="330"/>
      <c r="F103" s="330"/>
    </row>
    <row r="104" spans="1:6">
      <c r="A104" s="1305" t="s">
        <v>77</v>
      </c>
      <c r="B104" s="1306">
        <v>3638</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27</v>
      </c>
      <c r="C123" s="1306">
        <v>29</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133</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44518.842887872685</v>
      </c>
      <c r="C3" s="43" t="s">
        <v>169</v>
      </c>
      <c r="D3" s="43"/>
      <c r="E3" s="154"/>
      <c r="F3" s="43"/>
      <c r="G3" s="43"/>
      <c r="H3" s="43"/>
      <c r="I3" s="43"/>
      <c r="J3" s="43"/>
      <c r="K3" s="96"/>
    </row>
    <row r="4" spans="1:11">
      <c r="A4" s="359" t="s">
        <v>170</v>
      </c>
      <c r="B4" s="49">
        <f>IF(ISERROR('SEAP template'!B78+'SEAP template'!C78),0,'SEAP template'!B78+'SEAP template'!C78)</f>
        <v>5778.4488351341233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0.19231468138601335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882.46500000000003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882.46500000000003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0.19231468138601335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169.71097530930828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23294.236000000001</v>
      </c>
      <c r="C5" s="17">
        <f>IF(ISERROR('Eigen informatie GS &amp; warmtenet'!B57),0,'Eigen informatie GS &amp; warmtenet'!B57)</f>
        <v>0</v>
      </c>
      <c r="D5" s="30">
        <f>(SUM(HH_hh_gas_kWh,HH_rest_gas_kWh)/1000)*0.902</f>
        <v>30354.129256</v>
      </c>
      <c r="E5" s="17">
        <f>B46*B57</f>
        <v>13707.862453874426</v>
      </c>
      <c r="F5" s="17">
        <f>B51*B62</f>
        <v>53741.878234534837</v>
      </c>
      <c r="G5" s="18"/>
      <c r="H5" s="17"/>
      <c r="I5" s="17"/>
      <c r="J5" s="17">
        <f>B50*B61+C50*C61</f>
        <v>0</v>
      </c>
      <c r="K5" s="17"/>
      <c r="L5" s="17"/>
      <c r="M5" s="17"/>
      <c r="N5" s="17">
        <f>B48*B59+C48*C59</f>
        <v>6354.6798806049064</v>
      </c>
      <c r="O5" s="17">
        <f>B69*B70*B71</f>
        <v>254.82333333333335</v>
      </c>
      <c r="P5" s="17">
        <f>B77*B78*B79/1000-B77*B78*B79/1000/B80</f>
        <v>762.66666666666674</v>
      </c>
    </row>
    <row r="6" spans="1:16">
      <c r="A6" s="16" t="s">
        <v>630</v>
      </c>
      <c r="B6" s="763">
        <f>kWh_PV_kleiner_dan_10kW</f>
        <v>3562.4160859743602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26856.652085974361</v>
      </c>
      <c r="C8" s="21">
        <f>C5</f>
        <v>0</v>
      </c>
      <c r="D8" s="21">
        <f>D5</f>
        <v>30354.129256</v>
      </c>
      <c r="E8" s="21">
        <f>E5</f>
        <v>13707.862453874426</v>
      </c>
      <c r="F8" s="21">
        <f>F5</f>
        <v>53741.878234534837</v>
      </c>
      <c r="G8" s="21"/>
      <c r="H8" s="21"/>
      <c r="I8" s="21"/>
      <c r="J8" s="21">
        <f>J5</f>
        <v>0</v>
      </c>
      <c r="K8" s="21"/>
      <c r="L8" s="21">
        <f>L5</f>
        <v>0</v>
      </c>
      <c r="M8" s="21">
        <f>M5</f>
        <v>0</v>
      </c>
      <c r="N8" s="21">
        <f>N5</f>
        <v>6354.6798806049064</v>
      </c>
      <c r="O8" s="21">
        <f>O5</f>
        <v>254.82333333333335</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0.19231468138601335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5164.9284890091703</v>
      </c>
      <c r="C12" s="23">
        <f ca="1">C10*C8</f>
        <v>0</v>
      </c>
      <c r="D12" s="23">
        <f>D8*D10</f>
        <v>6131.5341097120008</v>
      </c>
      <c r="E12" s="23">
        <f>E10*E8</f>
        <v>3111.6847770294949</v>
      </c>
      <c r="F12" s="23">
        <f>F10*F8</f>
        <v>14349.081488620803</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508</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14.583333333333334</v>
      </c>
      <c r="D20" s="229"/>
      <c r="E20" s="15"/>
    </row>
    <row r="21" spans="1:7">
      <c r="A21" s="171" t="s">
        <v>73</v>
      </c>
      <c r="B21" s="37">
        <f>aantalw2001_elektriciteit</f>
        <v>438</v>
      </c>
      <c r="C21" s="167">
        <f>IF(ISERROR(B21/SUM($B$20,$B$21,$B$22)*100),0,B21/SUM($B$20,$B$21,$B$22)*100)</f>
        <v>76.041666666666657</v>
      </c>
      <c r="D21" s="229"/>
      <c r="E21" s="15"/>
    </row>
    <row r="22" spans="1:7">
      <c r="A22" s="171" t="s">
        <v>74</v>
      </c>
      <c r="B22" s="37">
        <f>aantalw2001_hout</f>
        <v>54</v>
      </c>
      <c r="C22" s="167">
        <f>IF(ISERROR(B22/SUM($B$20,$B$21,$B$22)*100),0,B22/SUM($B$20,$B$21,$B$22)*100)</f>
        <v>9.375</v>
      </c>
      <c r="D22" s="229"/>
      <c r="E22" s="15"/>
    </row>
    <row r="23" spans="1:7">
      <c r="A23" s="171" t="s">
        <v>75</v>
      </c>
      <c r="B23" s="37">
        <f>aantalw2001_niet_gespec</f>
        <v>49</v>
      </c>
      <c r="C23" s="166" t="s">
        <v>110</v>
      </c>
      <c r="D23" s="228"/>
      <c r="E23" s="15"/>
    </row>
    <row r="24" spans="1:7">
      <c r="A24" s="171" t="s">
        <v>76</v>
      </c>
      <c r="B24" s="37">
        <f>aantalw2001_steenkool</f>
        <v>114</v>
      </c>
      <c r="C24" s="166" t="s">
        <v>110</v>
      </c>
      <c r="D24" s="229"/>
      <c r="E24" s="15"/>
    </row>
    <row r="25" spans="1:7">
      <c r="A25" s="171" t="s">
        <v>77</v>
      </c>
      <c r="B25" s="37">
        <f>aantalw2001_stookolie</f>
        <v>3638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5501</v>
      </c>
      <c r="C28" s="36"/>
      <c r="D28" s="228"/>
    </row>
    <row r="29" spans="1:7" s="15" customFormat="1">
      <c r="A29" s="230" t="s">
        <v>737</v>
      </c>
      <c r="B29" s="37">
        <f>SUM(HH_hh_gas_aantal,HH_rest_gas_aantal)</f>
        <v>1883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1883</v>
      </c>
      <c r="C32" s="167">
        <f>IF(ISERROR(B32/SUM($B$32,$B$34,$B$35,$B$36,$B$38,$B$39)*100),0,B32/SUM($B$32,$B$34,$B$35,$B$36,$B$38,$B$39)*100)</f>
        <v>34.480864310565828</v>
      </c>
      <c r="D32" s="233"/>
      <c r="G32" s="15"/>
    </row>
    <row r="33" spans="1:7">
      <c r="A33" s="171" t="s">
        <v>71</v>
      </c>
      <c r="B33" s="34" t="s">
        <v>110</v>
      </c>
      <c r="C33" s="167"/>
      <c r="D33" s="233"/>
      <c r="G33" s="15"/>
    </row>
    <row r="34" spans="1:7">
      <c r="A34" s="171" t="s">
        <v>72</v>
      </c>
      <c r="B34" s="33">
        <f>IF((($B$28-$B$32-$B$39-$B$77-$B$38)*C20/100)&lt;0,0,($B$28-$B$32-$B$39-$B$77-$B$38)*C20/100)</f>
        <v>171.71875</v>
      </c>
      <c r="C34" s="167">
        <f>IF(ISERROR(B34/SUM($B$32,$B$34,$B$35,$B$36,$B$38,$B$39)*100),0,B34/SUM($B$32,$B$34,$B$35,$B$36,$B$38,$B$39)*100)</f>
        <v>3.1444561435634495</v>
      </c>
      <c r="D34" s="233"/>
      <c r="G34" s="15"/>
    </row>
    <row r="35" spans="1:7">
      <c r="A35" s="171" t="s">
        <v>73</v>
      </c>
      <c r="B35" s="33">
        <f>IF((($B$28-$B$32-$B$39-$B$77-$B$38)*C21/100)&lt;0,0,($B$28-$B$32-$B$39-$B$77-$B$38)*C21/100)</f>
        <v>895.39062499999989</v>
      </c>
      <c r="C35" s="167">
        <f>IF(ISERROR(B35/SUM($B$32,$B$34,$B$35,$B$36,$B$38,$B$39)*100),0,B35/SUM($B$32,$B$34,$B$35,$B$36,$B$38,$B$39)*100)</f>
        <v>16.396092748580841</v>
      </c>
      <c r="D35" s="233"/>
      <c r="G35" s="15"/>
    </row>
    <row r="36" spans="1:7">
      <c r="A36" s="171" t="s">
        <v>74</v>
      </c>
      <c r="B36" s="33">
        <f>IF((($B$28-$B$32-$B$39-$B$77-$B$38)*C22/100)&lt;0,0,($B$28-$B$32-$B$39-$B$77-$B$38)*C22/100)</f>
        <v>110.390625</v>
      </c>
      <c r="C36" s="167">
        <f>IF(ISERROR(B36/SUM($B$32,$B$34,$B$35,$B$36,$B$38,$B$39)*100),0,B36/SUM($B$32,$B$34,$B$35,$B$36,$B$38,$B$39)*100)</f>
        <v>2.0214360922907892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2400.5</v>
      </c>
      <c r="C39" s="167">
        <f>IF(ISERROR(B39/SUM($B$32,$B$34,$B$35,$B$36,$B$38,$B$39)*100),0,B39/SUM($B$32,$B$34,$B$35,$B$36,$B$38,$B$39)*100)</f>
        <v>43.95715070499908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1883</v>
      </c>
      <c r="C44" s="34" t="s">
        <v>110</v>
      </c>
      <c r="D44" s="174"/>
    </row>
    <row r="45" spans="1:7">
      <c r="A45" s="171" t="s">
        <v>71</v>
      </c>
      <c r="B45" s="33" t="str">
        <f t="shared" si="0"/>
        <v>-</v>
      </c>
      <c r="C45" s="34" t="s">
        <v>110</v>
      </c>
      <c r="D45" s="174"/>
    </row>
    <row r="46" spans="1:7">
      <c r="A46" s="171" t="s">
        <v>72</v>
      </c>
      <c r="B46" s="33">
        <f t="shared" si="0"/>
        <v>171.71875</v>
      </c>
      <c r="C46" s="34" t="s">
        <v>110</v>
      </c>
      <c r="D46" s="174"/>
    </row>
    <row r="47" spans="1:7">
      <c r="A47" s="171" t="s">
        <v>73</v>
      </c>
      <c r="B47" s="33">
        <f t="shared" si="0"/>
        <v>895.39062499999989</v>
      </c>
      <c r="C47" s="34" t="s">
        <v>110</v>
      </c>
      <c r="D47" s="174"/>
    </row>
    <row r="48" spans="1:7">
      <c r="A48" s="171" t="s">
        <v>74</v>
      </c>
      <c r="B48" s="33">
        <f t="shared" si="0"/>
        <v>110.390625</v>
      </c>
      <c r="C48" s="33">
        <f>B48*10</f>
        <v>1103.90625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2400.5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12818.81</v>
      </c>
      <c r="C5" s="17">
        <f>IF(ISERROR('Eigen informatie GS &amp; warmtenet'!B58),0,'Eigen informatie GS &amp; warmtenet'!B58)</f>
        <v>0</v>
      </c>
      <c r="D5" s="30">
        <f>SUM(D6:D12)</f>
        <v>7566.0436500000014</v>
      </c>
      <c r="E5" s="17">
        <f>SUM(E6:E12)</f>
        <v>95.844939753376735</v>
      </c>
      <c r="F5" s="17">
        <f>SUM(F6:F12)</f>
        <v>1719.6967104761454</v>
      </c>
      <c r="G5" s="18"/>
      <c r="H5" s="17"/>
      <c r="I5" s="17"/>
      <c r="J5" s="17">
        <f>SUM(J6:J12)</f>
        <v>0</v>
      </c>
      <c r="K5" s="17"/>
      <c r="L5" s="17"/>
      <c r="M5" s="17"/>
      <c r="N5" s="17">
        <f>SUM(N6:N12)</f>
        <v>510.6740848186306</v>
      </c>
      <c r="O5" s="17">
        <f>B38*B39*B40</f>
        <v>4.6900000000000004</v>
      </c>
      <c r="P5" s="17">
        <f>B46*B47*B48/1000-B46*B47*B48/1000/B49</f>
        <v>38.133333333333333</v>
      </c>
      <c r="R5" s="32"/>
    </row>
    <row r="6" spans="1:18">
      <c r="A6" s="32" t="s">
        <v>53</v>
      </c>
      <c r="B6" s="37">
        <f>B26</f>
        <v>2719.643</v>
      </c>
      <c r="C6" s="33"/>
      <c r="D6" s="37">
        <f>IF(ISERROR(TER_kantoor_gas_kWh/1000),0,TER_kantoor_gas_kWh/1000)*0.902</f>
        <v>3813.7498080000005</v>
      </c>
      <c r="E6" s="33">
        <f>$C$26*'E Balans VL '!I12/100/3.6*1000000</f>
        <v>7.8792047992073444</v>
      </c>
      <c r="F6" s="33">
        <f>$C$26*('E Balans VL '!L12+'E Balans VL '!N12)/100/3.6*1000000</f>
        <v>307.8036692190974</v>
      </c>
      <c r="G6" s="34"/>
      <c r="H6" s="33"/>
      <c r="I6" s="33"/>
      <c r="J6" s="33">
        <f>$C$26*('E Balans VL '!D12+'E Balans VL '!E12)/100/3.6*1000000</f>
        <v>0</v>
      </c>
      <c r="K6" s="33"/>
      <c r="L6" s="33"/>
      <c r="M6" s="33"/>
      <c r="N6" s="33">
        <f>$C$26*'E Balans VL '!Y12/100/3.6*1000000</f>
        <v>27.221622507564927</v>
      </c>
      <c r="O6" s="33"/>
      <c r="P6" s="33"/>
      <c r="R6" s="32"/>
    </row>
    <row r="7" spans="1:18">
      <c r="A7" s="32" t="s">
        <v>52</v>
      </c>
      <c r="B7" s="37">
        <f t="shared" ref="B7:B12" si="0">B27</f>
        <v>903.33600000000001</v>
      </c>
      <c r="C7" s="33"/>
      <c r="D7" s="37">
        <f>IF(ISERROR(TER_horeca_gas_kWh/1000),0,TER_horeca_gas_kWh/1000)*0.902</f>
        <v>548.742524</v>
      </c>
      <c r="E7" s="33">
        <f>$C$27*'E Balans VL '!I9/100/3.6*1000000</f>
        <v>37.919521409097364</v>
      </c>
      <c r="F7" s="33">
        <f>$C$27*('E Balans VL '!L9+'E Balans VL '!N9)/100/3.6*1000000</f>
        <v>194.10026424938607</v>
      </c>
      <c r="G7" s="34"/>
      <c r="H7" s="33"/>
      <c r="I7" s="33"/>
      <c r="J7" s="33">
        <f>$C$27*('E Balans VL '!D9+'E Balans VL '!E9)/100/3.6*1000000</f>
        <v>0</v>
      </c>
      <c r="K7" s="33"/>
      <c r="L7" s="33"/>
      <c r="M7" s="33"/>
      <c r="N7" s="33">
        <f>$C$27*'E Balans VL '!Y9/100/3.6*1000000</f>
        <v>0.23278178724009072</v>
      </c>
      <c r="O7" s="33"/>
      <c r="P7" s="33"/>
      <c r="R7" s="32"/>
    </row>
    <row r="8" spans="1:18">
      <c r="A8" s="6" t="s">
        <v>51</v>
      </c>
      <c r="B8" s="37">
        <f t="shared" si="0"/>
        <v>4141.4009999999998</v>
      </c>
      <c r="C8" s="33"/>
      <c r="D8" s="37">
        <f>IF(ISERROR(TER_handel_gas_kWh/1000),0,TER_handel_gas_kWh/1000)*0.902</f>
        <v>1761.713338</v>
      </c>
      <c r="E8" s="33">
        <f>$C$28*'E Balans VL '!I13/100/3.6*1000000</f>
        <v>44.482093530071815</v>
      </c>
      <c r="F8" s="33">
        <f>$C$28*('E Balans VL '!L13+'E Balans VL '!N13)/100/3.6*1000000</f>
        <v>536.13855843445299</v>
      </c>
      <c r="G8" s="34"/>
      <c r="H8" s="33"/>
      <c r="I8" s="33"/>
      <c r="J8" s="33">
        <f>$C$28*('E Balans VL '!D13+'E Balans VL '!E13)/100/3.6*1000000</f>
        <v>0</v>
      </c>
      <c r="K8" s="33"/>
      <c r="L8" s="33"/>
      <c r="M8" s="33"/>
      <c r="N8" s="33">
        <f>$C$28*'E Balans VL '!Y13/100/3.6*1000000</f>
        <v>33.595271042326637</v>
      </c>
      <c r="O8" s="33"/>
      <c r="P8" s="33"/>
      <c r="R8" s="32"/>
    </row>
    <row r="9" spans="1:18">
      <c r="A9" s="32" t="s">
        <v>50</v>
      </c>
      <c r="B9" s="37">
        <f t="shared" si="0"/>
        <v>4414.0439999999999</v>
      </c>
      <c r="C9" s="33"/>
      <c r="D9" s="37">
        <f>IF(ISERROR(TER_gezond_gas_kWh/1000),0,TER_gezond_gas_kWh/1000)*0.902</f>
        <v>977.37743399999999</v>
      </c>
      <c r="E9" s="33">
        <f>$C$29*'E Balans VL '!I10/100/3.6*1000000</f>
        <v>3.5138645167173439</v>
      </c>
      <c r="F9" s="33">
        <f>$C$29*('E Balans VL '!L10+'E Balans VL '!N10)/100/3.6*1000000</f>
        <v>536.59083688127237</v>
      </c>
      <c r="G9" s="34"/>
      <c r="H9" s="33"/>
      <c r="I9" s="33"/>
      <c r="J9" s="33">
        <f>$C$29*('E Balans VL '!D10+'E Balans VL '!E10)/100/3.6*1000000</f>
        <v>0</v>
      </c>
      <c r="K9" s="33"/>
      <c r="L9" s="33"/>
      <c r="M9" s="33"/>
      <c r="N9" s="33">
        <f>$C$29*'E Balans VL '!Y10/100/3.6*1000000</f>
        <v>35.655478007877697</v>
      </c>
      <c r="O9" s="33"/>
      <c r="P9" s="33"/>
      <c r="R9" s="32"/>
    </row>
    <row r="10" spans="1:18">
      <c r="A10" s="32" t="s">
        <v>49</v>
      </c>
      <c r="B10" s="37">
        <f t="shared" si="0"/>
        <v>587.61099999999999</v>
      </c>
      <c r="C10" s="33"/>
      <c r="D10" s="37">
        <f>IF(ISERROR(TER_ander_gas_kWh/1000),0,TER_ander_gas_kWh/1000)*0.902</f>
        <v>331.62480999999997</v>
      </c>
      <c r="E10" s="33">
        <f>$C$30*'E Balans VL '!I14/100/3.6*1000000</f>
        <v>2.013773766124952</v>
      </c>
      <c r="F10" s="33">
        <f>$C$30*('E Balans VL '!L14+'E Balans VL '!N14)/100/3.6*1000000</f>
        <v>131.24841970166932</v>
      </c>
      <c r="G10" s="34"/>
      <c r="H10" s="33"/>
      <c r="I10" s="33"/>
      <c r="J10" s="33">
        <f>$C$30*('E Balans VL '!D14+'E Balans VL '!E14)/100/3.6*1000000</f>
        <v>0</v>
      </c>
      <c r="K10" s="33"/>
      <c r="L10" s="33"/>
      <c r="M10" s="33"/>
      <c r="N10" s="33">
        <f>$C$30*'E Balans VL '!Y14/100/3.6*1000000</f>
        <v>413.91639845614509</v>
      </c>
      <c r="O10" s="33"/>
      <c r="P10" s="33"/>
      <c r="R10" s="32"/>
    </row>
    <row r="11" spans="1:18">
      <c r="A11" s="32" t="s">
        <v>54</v>
      </c>
      <c r="B11" s="37">
        <f t="shared" si="0"/>
        <v>52.774999999999999</v>
      </c>
      <c r="C11" s="33"/>
      <c r="D11" s="37">
        <f>IF(ISERROR(TER_onderwijs_gas_kWh/1000),0,TER_onderwijs_gas_kWh/1000)*0.902</f>
        <v>132.835736</v>
      </c>
      <c r="E11" s="33">
        <f>$C$31*'E Balans VL '!I11/100/3.6*1000000</f>
        <v>3.6481732157916447E-2</v>
      </c>
      <c r="F11" s="33">
        <f>$C$31*('E Balans VL '!L11+'E Balans VL '!N11)/100/3.6*1000000</f>
        <v>13.814961990267209</v>
      </c>
      <c r="G11" s="34"/>
      <c r="H11" s="33"/>
      <c r="I11" s="33"/>
      <c r="J11" s="33">
        <f>$C$31*('E Balans VL '!D11+'E Balans VL '!E11)/100/3.6*1000000</f>
        <v>0</v>
      </c>
      <c r="K11" s="33"/>
      <c r="L11" s="33"/>
      <c r="M11" s="33"/>
      <c r="N11" s="33">
        <f>$C$31*'E Balans VL '!Y11/100/3.6*1000000</f>
        <v>5.253301747614899E-2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814.5</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-2327.1428571428573</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13633.31</v>
      </c>
      <c r="C16" s="21">
        <f t="shared" ca="1" si="1"/>
        <v>0</v>
      </c>
      <c r="D16" s="21">
        <f t="shared" ca="1" si="1"/>
        <v>7566.0436500000014</v>
      </c>
      <c r="E16" s="21">
        <f t="shared" si="1"/>
        <v>95.844939753376735</v>
      </c>
      <c r="F16" s="21">
        <f t="shared" ca="1" si="1"/>
        <v>1719.6967104761454</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0.19231468138601335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2621.8856688867495</v>
      </c>
      <c r="C20" s="23">
        <f t="shared" ref="C20:P20" ca="1" si="2">C16*C18</f>
        <v>0</v>
      </c>
      <c r="D20" s="23">
        <f t="shared" ca="1" si="2"/>
        <v>1528.3408173000005</v>
      </c>
      <c r="E20" s="23">
        <f t="shared" si="2"/>
        <v>21.756801324016518</v>
      </c>
      <c r="F20" s="23">
        <f t="shared" ca="1" si="2"/>
        <v>459.15902169713087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2719.643</v>
      </c>
      <c r="C26" s="39">
        <f>IF(ISERROR(B26*3.6/1000000/'E Balans VL '!Z12*100),0,B26*3.6/1000000/'E Balans VL '!Z12*100)</f>
        <v>5.9740102717161729E-2</v>
      </c>
      <c r="D26" s="237" t="s">
        <v>691</v>
      </c>
      <c r="F26" s="6"/>
    </row>
    <row r="27" spans="1:18">
      <c r="A27" s="231" t="s">
        <v>52</v>
      </c>
      <c r="B27" s="33">
        <f>IF(ISERROR(TER_horeca_ele_kWh/1000),0,TER_horeca_ele_kWh/1000)</f>
        <v>903.33600000000001</v>
      </c>
      <c r="C27" s="39">
        <f>IF(ISERROR(B27*3.6/1000000/'E Balans VL '!Z9*100),0,B27*3.6/1000000/'E Balans VL '!Z9*100)</f>
        <v>7.2592052159601572E-2</v>
      </c>
      <c r="D27" s="237" t="s">
        <v>691</v>
      </c>
      <c r="F27" s="6"/>
    </row>
    <row r="28" spans="1:18">
      <c r="A28" s="171" t="s">
        <v>51</v>
      </c>
      <c r="B28" s="33">
        <f>IF(ISERROR(TER_handel_ele_kWh/1000),0,TER_handel_ele_kWh/1000)</f>
        <v>4141.4009999999998</v>
      </c>
      <c r="C28" s="39">
        <f>IF(ISERROR(B28*3.6/1000000/'E Balans VL '!Z13*100),0,B28*3.6/1000000/'E Balans VL '!Z13*100)</f>
        <v>0.12245833432651321</v>
      </c>
      <c r="D28" s="237" t="s">
        <v>691</v>
      </c>
      <c r="F28" s="6"/>
    </row>
    <row r="29" spans="1:18">
      <c r="A29" s="231" t="s">
        <v>50</v>
      </c>
      <c r="B29" s="33">
        <f>IF(ISERROR(TER_gezond_ele_kWh/1000),0,TER_gezond_ele_kWh/1000)</f>
        <v>4414.0439999999999</v>
      </c>
      <c r="C29" s="39">
        <f>IF(ISERROR(B29*3.6/1000000/'E Balans VL '!Z10*100),0,B29*3.6/1000000/'E Balans VL '!Z10*100)</f>
        <v>0.49734879822956968</v>
      </c>
      <c r="D29" s="237" t="s">
        <v>691</v>
      </c>
      <c r="F29" s="6"/>
    </row>
    <row r="30" spans="1:18">
      <c r="A30" s="231" t="s">
        <v>49</v>
      </c>
      <c r="B30" s="33">
        <f>IF(ISERROR(TER_ander_ele_kWh/1000),0,TER_ander_ele_kWh/1000)</f>
        <v>587.61099999999999</v>
      </c>
      <c r="C30" s="39">
        <f>IF(ISERROR(B30*3.6/1000000/'E Balans VL '!Z14*100),0,B30*3.6/1000000/'E Balans VL '!Z14*100)</f>
        <v>4.444001545436773E-2</v>
      </c>
      <c r="D30" s="237" t="s">
        <v>691</v>
      </c>
      <c r="F30" s="6"/>
    </row>
    <row r="31" spans="1:18">
      <c r="A31" s="231" t="s">
        <v>54</v>
      </c>
      <c r="B31" s="33">
        <f>IF(ISERROR(TER_onderwijs_ele_kWh/1000),0,TER_onderwijs_ele_kWh/1000)</f>
        <v>52.774999999999999</v>
      </c>
      <c r="C31" s="39">
        <f>IF(ISERROR(B31*3.6/1000000/'E Balans VL '!Z11*100),0,B31*3.6/1000000/'E Balans VL '!Z11*100)</f>
        <v>1.095486488096988E-2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1282.4070000000002</v>
      </c>
      <c r="C5" s="17">
        <f>IF(ISERROR('Eigen informatie GS &amp; warmtenet'!B59),0,'Eigen informatie GS &amp; warmtenet'!B59)</f>
        <v>0</v>
      </c>
      <c r="D5" s="30">
        <f>SUM(D6:D15)</f>
        <v>657.64368999999999</v>
      </c>
      <c r="E5" s="17">
        <f>SUM(E6:E15)</f>
        <v>151.7234037650741</v>
      </c>
      <c r="F5" s="17">
        <f>SUM(F6:F15)</f>
        <v>884.01560969755872</v>
      </c>
      <c r="G5" s="18"/>
      <c r="H5" s="17"/>
      <c r="I5" s="17"/>
      <c r="J5" s="17">
        <f>SUM(J6:J15)</f>
        <v>6.3164165869838742</v>
      </c>
      <c r="K5" s="17"/>
      <c r="L5" s="17"/>
      <c r="M5" s="17"/>
      <c r="N5" s="17">
        <f>SUM(N6:N15)</f>
        <v>166.496099712204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33.771000000000001</v>
      </c>
      <c r="C8" s="33"/>
      <c r="D8" s="37">
        <f>IF( ISERROR(IND_metaal_Gas_kWH/1000),0,IND_metaal_Gas_kWH/1000)*0.902</f>
        <v>0</v>
      </c>
      <c r="E8" s="33">
        <f>C30*'E Balans VL '!I18/100/3.6*1000000</f>
        <v>0.84516993403218355</v>
      </c>
      <c r="F8" s="33">
        <f>C30*'E Balans VL '!L18/100/3.6*1000000+C30*'E Balans VL '!N18/100/3.6*1000000</f>
        <v>10.583999385593158</v>
      </c>
      <c r="G8" s="34"/>
      <c r="H8" s="33"/>
      <c r="I8" s="33"/>
      <c r="J8" s="40">
        <f>C30*'E Balans VL '!D18/100/3.6*1000000+C30*'E Balans VL '!E18/100/3.6*1000000</f>
        <v>0</v>
      </c>
      <c r="K8" s="33"/>
      <c r="L8" s="33"/>
      <c r="M8" s="33"/>
      <c r="N8" s="33">
        <f>C30*'E Balans VL '!Y18/100/3.6*1000000</f>
        <v>0.84841516338756251</v>
      </c>
      <c r="O8" s="33"/>
      <c r="P8" s="33"/>
      <c r="R8" s="32"/>
    </row>
    <row r="9" spans="1:18">
      <c r="A9" s="6" t="s">
        <v>32</v>
      </c>
      <c r="B9" s="37">
        <f t="shared" si="0"/>
        <v>529.529</v>
      </c>
      <c r="C9" s="33"/>
      <c r="D9" s="37">
        <f>IF( ISERROR(IND_andere_gas_kWh/1000),0,IND_andere_gas_kWh/1000)*0.902</f>
        <v>513.96230600000001</v>
      </c>
      <c r="E9" s="33">
        <f>C31*'E Balans VL '!I19/100/3.6*1000000</f>
        <v>145.59875633862626</v>
      </c>
      <c r="F9" s="33">
        <f>C31*'E Balans VL '!L19/100/3.6*1000000+C31*'E Balans VL '!N19/100/3.6*1000000</f>
        <v>417.36099666179877</v>
      </c>
      <c r="G9" s="34"/>
      <c r="H9" s="33"/>
      <c r="I9" s="33"/>
      <c r="J9" s="40">
        <f>C31*'E Balans VL '!D19/100/3.6*1000000+C31*'E Balans VL '!E19/100/3.6*1000000</f>
        <v>0</v>
      </c>
      <c r="K9" s="33"/>
      <c r="L9" s="33"/>
      <c r="M9" s="33"/>
      <c r="N9" s="33">
        <f>C31*'E Balans VL '!Y19/100/3.6*1000000</f>
        <v>42.659189925597509</v>
      </c>
      <c r="O9" s="33"/>
      <c r="P9" s="33"/>
      <c r="R9" s="32"/>
    </row>
    <row r="10" spans="1:18">
      <c r="A10" s="6" t="s">
        <v>40</v>
      </c>
      <c r="B10" s="37">
        <f t="shared" si="0"/>
        <v>230.18700000000001</v>
      </c>
      <c r="C10" s="33"/>
      <c r="D10" s="37">
        <f>IF( ISERROR(IND_voed_gas_kWh/1000),0,IND_voed_gas_kWh/1000)*0.902</f>
        <v>24.842884000000002</v>
      </c>
      <c r="E10" s="33">
        <f>C32*'E Balans VL '!I20/100/3.6*1000000</f>
        <v>2.3466296542581149</v>
      </c>
      <c r="F10" s="33">
        <f>C32*'E Balans VL '!L20/100/3.6*1000000+C32*'E Balans VL '!N20/100/3.6*1000000</f>
        <v>434.82180331928879</v>
      </c>
      <c r="G10" s="34"/>
      <c r="H10" s="33"/>
      <c r="I10" s="33"/>
      <c r="J10" s="40">
        <f>C32*'E Balans VL '!D20/100/3.6*1000000+C32*'E Balans VL '!E20/100/3.6*1000000</f>
        <v>5.5091280852739253</v>
      </c>
      <c r="K10" s="33"/>
      <c r="L10" s="33"/>
      <c r="M10" s="33"/>
      <c r="N10" s="33">
        <f>C32*'E Balans VL '!Y20/100/3.6*1000000</f>
        <v>121.33506329112309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458.56900000000002</v>
      </c>
      <c r="C12" s="33"/>
      <c r="D12" s="37">
        <f>IF( ISERROR(IND_min_gas_kWh/1000),0,IND_min_gas_kWh/1000)*0.902</f>
        <v>0</v>
      </c>
      <c r="E12" s="33">
        <f>C34*'E Balans VL '!I22/100/3.6*1000000</f>
        <v>1.3887980659679267</v>
      </c>
      <c r="F12" s="33">
        <f>C34*'E Balans VL '!L22/100/3.6*1000000+C34*'E Balans VL '!N22/100/3.6*1000000</f>
        <v>14.330675498325935</v>
      </c>
      <c r="G12" s="34"/>
      <c r="H12" s="33"/>
      <c r="I12" s="33"/>
      <c r="J12" s="40">
        <f>C34*'E Balans VL '!D22/100/3.6*1000000+C34*'E Balans VL '!E22/100/3.6*1000000</f>
        <v>0.67995602992750481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30.350999999999999</v>
      </c>
      <c r="C15" s="33"/>
      <c r="D15" s="37">
        <f>IF( ISERROR(IND_rest_gas_kWh/1000),0,IND_rest_gas_kWh/1000)*0.902</f>
        <v>118.8385</v>
      </c>
      <c r="E15" s="33">
        <f>C37*'E Balans VL '!I15/100/3.6*1000000</f>
        <v>1.5440497721895847</v>
      </c>
      <c r="F15" s="33">
        <f>C37*'E Balans VL '!L15/100/3.6*1000000+C37*'E Balans VL '!N15/100/3.6*1000000</f>
        <v>6.9181348325519982</v>
      </c>
      <c r="G15" s="34"/>
      <c r="H15" s="33"/>
      <c r="I15" s="33"/>
      <c r="J15" s="40">
        <f>C37*'E Balans VL '!D15/100/3.6*1000000+C37*'E Balans VL '!E15/100/3.6*1000000</f>
        <v>0.12733247178244461</v>
      </c>
      <c r="K15" s="33"/>
      <c r="L15" s="33"/>
      <c r="M15" s="33"/>
      <c r="N15" s="33">
        <f>C37*'E Balans VL '!Y15/100/3.6*1000000</f>
        <v>1.6534313320958429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1282.4070000000002</v>
      </c>
      <c r="C18" s="21">
        <f>C5+C16</f>
        <v>0</v>
      </c>
      <c r="D18" s="21">
        <f>MAX((D5+D16),0)</f>
        <v>657.64368999999999</v>
      </c>
      <c r="E18" s="21">
        <f>MAX((E5+E16),0)</f>
        <v>151.7234037650741</v>
      </c>
      <c r="F18" s="21">
        <f>MAX((F5+F16),0)</f>
        <v>884.01560969755872</v>
      </c>
      <c r="G18" s="21"/>
      <c r="H18" s="21"/>
      <c r="I18" s="21"/>
      <c r="J18" s="21">
        <f>MAX((J5+J16),0)</f>
        <v>6.3164165869838742</v>
      </c>
      <c r="K18" s="21"/>
      <c r="L18" s="21">
        <f>MAX((L5+L16),0)</f>
        <v>0</v>
      </c>
      <c r="M18" s="21"/>
      <c r="N18" s="21">
        <f>MAX((N5+N16),0)</f>
        <v>166.496099712204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0.19231468138601335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246.62569361219326</v>
      </c>
      <c r="C22" s="23">
        <f ca="1">C18*C20</f>
        <v>0</v>
      </c>
      <c r="D22" s="23">
        <f>D18*D20</f>
        <v>132.84402538000001</v>
      </c>
      <c r="E22" s="23">
        <f>E18*E20</f>
        <v>34.441212654671823</v>
      </c>
      <c r="F22" s="23">
        <f>F18*F20</f>
        <v>236.03216778924818</v>
      </c>
      <c r="G22" s="23"/>
      <c r="H22" s="23"/>
      <c r="I22" s="23"/>
      <c r="J22" s="23">
        <f>J18*J20</f>
        <v>2.2360114717922914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33.771000000000001</v>
      </c>
      <c r="C30" s="39">
        <f>IF(ISERROR(B30*3.6/1000000/'E Balans VL '!Z18*100),0,B30*3.6/1000000/'E Balans VL '!Z18*100)</f>
        <v>4.7268145689920204E-3</v>
      </c>
      <c r="D30" s="237" t="s">
        <v>691</v>
      </c>
    </row>
    <row r="31" spans="1:18">
      <c r="A31" s="6" t="s">
        <v>32</v>
      </c>
      <c r="B31" s="37">
        <f>IF( ISERROR(IND_ander_ele_kWh/1000),0,IND_ander_ele_kWh/1000)</f>
        <v>529.529</v>
      </c>
      <c r="C31" s="39">
        <f>IF(ISERROR(B31*3.6/1000000/'E Balans VL '!Z19*100),0,B31*3.6/1000000/'E Balans VL '!Z19*100)</f>
        <v>2.3177398428191758E-2</v>
      </c>
      <c r="D31" s="237" t="s">
        <v>691</v>
      </c>
    </row>
    <row r="32" spans="1:18">
      <c r="A32" s="171" t="s">
        <v>40</v>
      </c>
      <c r="B32" s="37">
        <f>IF( ISERROR(IND_voed_ele_kWh/1000),0,IND_voed_ele_kWh/1000)</f>
        <v>230.18700000000001</v>
      </c>
      <c r="C32" s="39">
        <f>IF(ISERROR(B32*3.6/1000000/'E Balans VL '!Z20*100),0,B32*3.6/1000000/'E Balans VL '!Z20*100)</f>
        <v>5.6986657066780549E-2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458.56900000000002</v>
      </c>
      <c r="C34" s="39">
        <f>IF(ISERROR(B34*3.6/1000000/'E Balans VL '!Z22*100),0,B34*3.6/1000000/'E Balans VL '!Z22*100)</f>
        <v>1.3012317359028405E-2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30.350999999999999</v>
      </c>
      <c r="C37" s="39">
        <f>IF(ISERROR(B37*3.6/1000000/'E Balans VL '!Z15*100),0,B37*3.6/1000000/'E Balans VL '!Z15*100)</f>
        <v>2.250474686889106E-4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709.48800000000006</v>
      </c>
      <c r="C5" s="17">
        <f>'Eigen informatie GS &amp; warmtenet'!B60</f>
        <v>0</v>
      </c>
      <c r="D5" s="30">
        <f>IF(ISERROR(SUM(LB_lb_gas_kWh,LB_rest_gas_kWh)/1000),0,SUM(LB_lb_gas_kWh,LB_rest_gas_kWh)/1000)*0.902</f>
        <v>105.841582</v>
      </c>
      <c r="E5" s="17">
        <f>B17*'E Balans VL '!I25/3.6*1000000/100</f>
        <v>6.5715750168900016</v>
      </c>
      <c r="F5" s="17">
        <f>B17*('E Balans VL '!L25/3.6*1000000+'E Balans VL '!N25/3.6*1000000)/100</f>
        <v>1800.1062133252992</v>
      </c>
      <c r="G5" s="18"/>
      <c r="H5" s="17"/>
      <c r="I5" s="17"/>
      <c r="J5" s="17">
        <f>('E Balans VL '!D25+'E Balans VL '!E25)/3.6*1000000*landbouw!B17/100</f>
        <v>108.77242830918919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709.48800000000006</v>
      </c>
      <c r="C8" s="21">
        <f>C5+C6</f>
        <v>0</v>
      </c>
      <c r="D8" s="21">
        <f>MAX((D5+D6),0)</f>
        <v>105.841582</v>
      </c>
      <c r="E8" s="21">
        <f>MAX((E5+E6),0)</f>
        <v>6.5715750168900016</v>
      </c>
      <c r="F8" s="21">
        <f>MAX((F5+F6),0)</f>
        <v>1800.1062133252992</v>
      </c>
      <c r="G8" s="21"/>
      <c r="H8" s="21"/>
      <c r="I8" s="21"/>
      <c r="J8" s="21">
        <f>MAX((J5+J6),0)</f>
        <v>108.77242830918919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0.19231468138601335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136.44495866719984</v>
      </c>
      <c r="C12" s="23">
        <f ca="1">C8*C10</f>
        <v>0</v>
      </c>
      <c r="D12" s="23">
        <f>D8*D10</f>
        <v>21.379999564000002</v>
      </c>
      <c r="E12" s="23">
        <f>E8*E10</f>
        <v>1.4917475288340305</v>
      </c>
      <c r="F12" s="23">
        <f>F8*F10</f>
        <v>480.62835895785491</v>
      </c>
      <c r="G12" s="23"/>
      <c r="H12" s="23"/>
      <c r="I12" s="23"/>
      <c r="J12" s="23">
        <f>J8*J10</f>
        <v>38.505439621452972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0.10087414985410253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179.89878158125188</v>
      </c>
      <c r="C26" s="247">
        <f>B26*'GWP N2O_CH4'!B5</f>
        <v>3777.8744132062893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41.938809495596452</v>
      </c>
      <c r="C27" s="247">
        <f>B27*'GWP N2O_CH4'!B5</f>
        <v>880.71499940752551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2.6897525585044444</v>
      </c>
      <c r="C28" s="247">
        <f>B28*'GWP N2O_CH4'!B4</f>
        <v>833.82329313637774</v>
      </c>
      <c r="D28" s="50"/>
    </row>
    <row r="29" spans="1:4">
      <c r="A29" s="41" t="s">
        <v>276</v>
      </c>
      <c r="B29" s="247">
        <f>B34*'ha_N2O bodem landbouw'!B4</f>
        <v>15.086494909356192</v>
      </c>
      <c r="C29" s="247">
        <f>B29*'GWP N2O_CH4'!B4</f>
        <v>4676.8134219004196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3.383635024705435E-3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3.4105686833949246E-5</v>
      </c>
      <c r="C5" s="438" t="s">
        <v>210</v>
      </c>
      <c r="D5" s="423">
        <f>SUM(D6:D11)</f>
        <v>7.2849698005983911E-5</v>
      </c>
      <c r="E5" s="423">
        <f>SUM(E6:E11)</f>
        <v>6.8892917209983809E-4</v>
      </c>
      <c r="F5" s="436" t="s">
        <v>210</v>
      </c>
      <c r="G5" s="423">
        <f>SUM(G6:G11)</f>
        <v>0.23687806510825671</v>
      </c>
      <c r="H5" s="423">
        <f>SUM(H6:H11)</f>
        <v>4.3937919856949371E-2</v>
      </c>
      <c r="I5" s="438" t="s">
        <v>210</v>
      </c>
      <c r="J5" s="438" t="s">
        <v>210</v>
      </c>
      <c r="K5" s="438" t="s">
        <v>210</v>
      </c>
      <c r="L5" s="438" t="s">
        <v>210</v>
      </c>
      <c r="M5" s="423">
        <f>SUM(M6:M11)</f>
        <v>1.5073747900623815E-2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2.3377542213676149E-5</v>
      </c>
      <c r="C6" s="424"/>
      <c r="D6" s="866">
        <f>vkm_GW_PW*SUMIFS(TableVerdeelsleutelVkm[CNG],TableVerdeelsleutelVkm[Voertuigtype],"Lichte voertuigen")*SUMIFS(TableECFTransport[EnergieConsumptieFactor (PJ per km)],TableECFTransport[Index],CONCATENATE($A6,"_CNG_CNG"))</f>
        <v>4.0793448515094314E-5</v>
      </c>
      <c r="E6" s="866">
        <f>vkm_GW_PW*SUMIFS(TableVerdeelsleutelVkm[LPG],TableVerdeelsleutelVkm[Voertuigtype],"Lichte voertuigen")*SUMIFS(TableECFTransport[EnergieConsumptieFactor (PJ per km)],TableECFTransport[Index],CONCATENATE($A6,"_LPG_LPG"))</f>
        <v>3.9510460179524722E-4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9.285637996030302E-2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2.4981672790589528E-2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6.1455611576859198E-3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6.0869922593194334E-2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1.1804612806051687E-6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3.5291004997593961E-3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1.0728144620273098E-5</v>
      </c>
      <c r="C8" s="424"/>
      <c r="D8" s="426">
        <f>vkm_NGW_PW*SUMIFS(TableVerdeelsleutelVkm[CNG],TableVerdeelsleutelVkm[Voertuigtype],"Lichte voertuigen")*SUMIFS(TableECFTransport[EnergieConsumptieFactor (PJ per km)],TableECFTransport[Index],CONCATENATE($A8,"_CNG_CNG"))</f>
        <v>3.2056249490889597E-5</v>
      </c>
      <c r="E8" s="426">
        <f>vkm_NGW_PW*SUMIFS(TableVerdeelsleutelVkm[LPG],TableVerdeelsleutelVkm[Voertuigtype],"Lichte voertuigen")*SUMIFS(TableECFTransport[EnergieConsumptieFactor (PJ per km)],TableECFTransport[Index],CONCATENATE($A8,"_LPG_LPG"))</f>
        <v>2.9382457030459086E-4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6.4818230213001302E-2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1.8954626200888058E-2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4.3361468972562423E-3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1.8333532341758062E-2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4.404041911803446E-7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1.0629393459222563E-3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9.473801898319234</v>
      </c>
      <c r="C14" s="21"/>
      <c r="D14" s="21">
        <f t="shared" ref="D14:M14" si="0">((D5)*10^9/3600)+D12</f>
        <v>20.23602722388442</v>
      </c>
      <c r="E14" s="21">
        <f t="shared" si="0"/>
        <v>191.36921447217722</v>
      </c>
      <c r="F14" s="21"/>
      <c r="G14" s="21">
        <f t="shared" si="0"/>
        <v>65799.462530071309</v>
      </c>
      <c r="H14" s="21">
        <f t="shared" si="0"/>
        <v>12204.977738041493</v>
      </c>
      <c r="I14" s="21"/>
      <c r="J14" s="21"/>
      <c r="K14" s="21"/>
      <c r="L14" s="21"/>
      <c r="M14" s="21">
        <f t="shared" si="0"/>
        <v>4187.1521946177263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0.19231468138601335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1.8219511935894719</v>
      </c>
      <c r="C18" s="23"/>
      <c r="D18" s="23">
        <f t="shared" ref="D18:M18" si="1">D14*D16</f>
        <v>4.087677499224653</v>
      </c>
      <c r="E18" s="23">
        <f t="shared" si="1"/>
        <v>43.440811685184229</v>
      </c>
      <c r="F18" s="23"/>
      <c r="G18" s="23">
        <f t="shared" si="1"/>
        <v>17568.456495529041</v>
      </c>
      <c r="H18" s="23">
        <f t="shared" si="1"/>
        <v>3039.0394567723315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1.2986145515122413E-2</v>
      </c>
      <c r="H50" s="319">
        <f t="shared" si="2"/>
        <v>0</v>
      </c>
      <c r="I50" s="319">
        <f t="shared" si="2"/>
        <v>0</v>
      </c>
      <c r="J50" s="319">
        <f t="shared" si="2"/>
        <v>0</v>
      </c>
      <c r="K50" s="319">
        <f t="shared" si="2"/>
        <v>0</v>
      </c>
      <c r="L50" s="319">
        <f t="shared" si="2"/>
        <v>0</v>
      </c>
      <c r="M50" s="319">
        <f t="shared" si="2"/>
        <v>7.4224855161084081E-4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1.2986145515122413E-2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7.4224855161084081E-4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3607.2626430895593</v>
      </c>
      <c r="H54" s="21">
        <f t="shared" si="3"/>
        <v>0</v>
      </c>
      <c r="I54" s="21">
        <f t="shared" si="3"/>
        <v>0</v>
      </c>
      <c r="J54" s="21">
        <f t="shared" si="3"/>
        <v>0</v>
      </c>
      <c r="K54" s="21">
        <f t="shared" si="3"/>
        <v>0</v>
      </c>
      <c r="L54" s="21">
        <f t="shared" si="3"/>
        <v>0</v>
      </c>
      <c r="M54" s="21">
        <f t="shared" si="3"/>
        <v>206.18015322523357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0.19231468138601335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963.13912570491243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14515.775</v>
      </c>
      <c r="D10" s="991">
        <f ca="1">tertiair!C16</f>
        <v>0</v>
      </c>
      <c r="E10" s="991">
        <f ca="1">tertiair!D16</f>
        <v>7566.0436500000014</v>
      </c>
      <c r="F10" s="991">
        <f>tertiair!E16</f>
        <v>95.844939753376735</v>
      </c>
      <c r="G10" s="991">
        <f ca="1">tertiair!F16</f>
        <v>1719.6967104761454</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4.6900000000000004</v>
      </c>
      <c r="Q10" s="992">
        <f>tertiair!P16</f>
        <v>38.133333333333333</v>
      </c>
      <c r="R10" s="675">
        <f ca="1">SUM(C10:Q10)</f>
        <v>23940.183633562858</v>
      </c>
      <c r="S10" s="67"/>
    </row>
    <row r="11" spans="1:19" s="448" customFormat="1">
      <c r="A11" s="784" t="s">
        <v>224</v>
      </c>
      <c r="B11" s="789"/>
      <c r="C11" s="991">
        <f>huishoudens!B8</f>
        <v>26856.652085974361</v>
      </c>
      <c r="D11" s="991">
        <f>huishoudens!C8</f>
        <v>0</v>
      </c>
      <c r="E11" s="991">
        <f>huishoudens!D8</f>
        <v>30354.129256</v>
      </c>
      <c r="F11" s="991">
        <f>huishoudens!E8</f>
        <v>13707.862453874426</v>
      </c>
      <c r="G11" s="991">
        <f>huishoudens!F8</f>
        <v>53741.878234534837</v>
      </c>
      <c r="H11" s="991">
        <f>huishoudens!G8</f>
        <v>0</v>
      </c>
      <c r="I11" s="991">
        <f>huishoudens!H8</f>
        <v>0</v>
      </c>
      <c r="J11" s="991">
        <f>huishoudens!I8</f>
        <v>0</v>
      </c>
      <c r="K11" s="991">
        <f>huishoudens!J8</f>
        <v>0</v>
      </c>
      <c r="L11" s="991">
        <f>huishoudens!K8</f>
        <v>0</v>
      </c>
      <c r="M11" s="991">
        <f>huishoudens!L8</f>
        <v>0</v>
      </c>
      <c r="N11" s="991">
        <f>huishoudens!M8</f>
        <v>0</v>
      </c>
      <c r="O11" s="991">
        <f>huishoudens!N8</f>
        <v>6354.6798806049064</v>
      </c>
      <c r="P11" s="991">
        <f>huishoudens!O8</f>
        <v>254.82333333333335</v>
      </c>
      <c r="Q11" s="992">
        <f>huishoudens!P8</f>
        <v>762.66666666666674</v>
      </c>
      <c r="R11" s="675">
        <f>SUM(C11:Q11)</f>
        <v>132032.69191098853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1282.4070000000002</v>
      </c>
      <c r="D13" s="991">
        <f>industrie!C18</f>
        <v>0</v>
      </c>
      <c r="E13" s="991">
        <f>industrie!D18</f>
        <v>657.64368999999999</v>
      </c>
      <c r="F13" s="991">
        <f>industrie!E18</f>
        <v>151.7234037650741</v>
      </c>
      <c r="G13" s="991">
        <f>industrie!F18</f>
        <v>884.01560969755872</v>
      </c>
      <c r="H13" s="991">
        <f>industrie!G18</f>
        <v>0</v>
      </c>
      <c r="I13" s="991">
        <f>industrie!H18</f>
        <v>0</v>
      </c>
      <c r="J13" s="991">
        <f>industrie!I18</f>
        <v>0</v>
      </c>
      <c r="K13" s="991">
        <f>industrie!J18</f>
        <v>6.3164165869838742</v>
      </c>
      <c r="L13" s="991">
        <f>industrie!K18</f>
        <v>0</v>
      </c>
      <c r="M13" s="991">
        <f>industrie!L18</f>
        <v>0</v>
      </c>
      <c r="N13" s="991">
        <f>industrie!M18</f>
        <v>0</v>
      </c>
      <c r="O13" s="991">
        <f>industrie!N18</f>
        <v>166.496099712204</v>
      </c>
      <c r="P13" s="991">
        <f>industrie!O18</f>
        <v>0</v>
      </c>
      <c r="Q13" s="992">
        <f>industrie!P18</f>
        <v>0</v>
      </c>
      <c r="R13" s="675">
        <f>SUM(C13:Q13)</f>
        <v>3148.6022197618208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42654.834085974362</v>
      </c>
      <c r="D16" s="707">
        <f t="shared" ref="D16:R16" ca="1" si="0">SUM(D9:D15)</f>
        <v>0</v>
      </c>
      <c r="E16" s="707">
        <f t="shared" ca="1" si="0"/>
        <v>38577.816595999997</v>
      </c>
      <c r="F16" s="707">
        <f t="shared" si="0"/>
        <v>13955.430797392877</v>
      </c>
      <c r="G16" s="707">
        <f t="shared" ca="1" si="0"/>
        <v>56345.590554708535</v>
      </c>
      <c r="H16" s="707">
        <f t="shared" si="0"/>
        <v>0</v>
      </c>
      <c r="I16" s="707">
        <f t="shared" si="0"/>
        <v>0</v>
      </c>
      <c r="J16" s="707">
        <f t="shared" si="0"/>
        <v>0</v>
      </c>
      <c r="K16" s="707">
        <f t="shared" si="0"/>
        <v>6.3164165869838742</v>
      </c>
      <c r="L16" s="707">
        <f t="shared" si="0"/>
        <v>0</v>
      </c>
      <c r="M16" s="707">
        <f t="shared" ca="1" si="0"/>
        <v>0</v>
      </c>
      <c r="N16" s="707">
        <f t="shared" si="0"/>
        <v>0</v>
      </c>
      <c r="O16" s="707">
        <f t="shared" ca="1" si="0"/>
        <v>6521.1759803171108</v>
      </c>
      <c r="P16" s="707">
        <f t="shared" si="0"/>
        <v>259.51333333333338</v>
      </c>
      <c r="Q16" s="707">
        <f t="shared" si="0"/>
        <v>800.80000000000007</v>
      </c>
      <c r="R16" s="707">
        <f t="shared" ca="1" si="0"/>
        <v>159121.4777643132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3607.2626430895593</v>
      </c>
      <c r="I19" s="991">
        <f>transport!H54</f>
        <v>0</v>
      </c>
      <c r="J19" s="991">
        <f>transport!I54</f>
        <v>0</v>
      </c>
      <c r="K19" s="991">
        <f>transport!J54</f>
        <v>0</v>
      </c>
      <c r="L19" s="991">
        <f>transport!K54</f>
        <v>0</v>
      </c>
      <c r="M19" s="991">
        <f>transport!L54</f>
        <v>0</v>
      </c>
      <c r="N19" s="991">
        <f>transport!M54</f>
        <v>206.18015322523357</v>
      </c>
      <c r="O19" s="991">
        <f>transport!N54</f>
        <v>0</v>
      </c>
      <c r="P19" s="991">
        <f>transport!O54</f>
        <v>0</v>
      </c>
      <c r="Q19" s="992">
        <f>transport!P54</f>
        <v>0</v>
      </c>
      <c r="R19" s="675">
        <f>SUM(C19:Q19)</f>
        <v>3813.4427963147928</v>
      </c>
      <c r="S19" s="67"/>
    </row>
    <row r="20" spans="1:19" s="448" customFormat="1">
      <c r="A20" s="784" t="s">
        <v>306</v>
      </c>
      <c r="B20" s="789"/>
      <c r="C20" s="991">
        <f>transport!B14</f>
        <v>9.473801898319234</v>
      </c>
      <c r="D20" s="991">
        <f>transport!C14</f>
        <v>0</v>
      </c>
      <c r="E20" s="991">
        <f>transport!D14</f>
        <v>20.23602722388442</v>
      </c>
      <c r="F20" s="991">
        <f>transport!E14</f>
        <v>191.36921447217722</v>
      </c>
      <c r="G20" s="991">
        <f>transport!F14</f>
        <v>0</v>
      </c>
      <c r="H20" s="991">
        <f>transport!G14</f>
        <v>65799.462530071309</v>
      </c>
      <c r="I20" s="991">
        <f>transport!H14</f>
        <v>12204.977738041493</v>
      </c>
      <c r="J20" s="991">
        <f>transport!I14</f>
        <v>0</v>
      </c>
      <c r="K20" s="991">
        <f>transport!J14</f>
        <v>0</v>
      </c>
      <c r="L20" s="991">
        <f>transport!K14</f>
        <v>0</v>
      </c>
      <c r="M20" s="991">
        <f>transport!L14</f>
        <v>0</v>
      </c>
      <c r="N20" s="991">
        <f>transport!M14</f>
        <v>4187.1521946177263</v>
      </c>
      <c r="O20" s="991">
        <f>transport!N14</f>
        <v>0</v>
      </c>
      <c r="P20" s="991">
        <f>transport!O14</f>
        <v>0</v>
      </c>
      <c r="Q20" s="992">
        <f>transport!P14</f>
        <v>0</v>
      </c>
      <c r="R20" s="675">
        <f>SUM(C20:Q20)</f>
        <v>82412.671506324899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9.473801898319234</v>
      </c>
      <c r="D22" s="787">
        <f t="shared" ref="D22:R22" si="1">SUM(D18:D21)</f>
        <v>0</v>
      </c>
      <c r="E22" s="787">
        <f t="shared" si="1"/>
        <v>20.23602722388442</v>
      </c>
      <c r="F22" s="787">
        <f t="shared" si="1"/>
        <v>191.36921447217722</v>
      </c>
      <c r="G22" s="787">
        <f t="shared" si="1"/>
        <v>0</v>
      </c>
      <c r="H22" s="787">
        <f t="shared" si="1"/>
        <v>69406.72517316087</v>
      </c>
      <c r="I22" s="787">
        <f t="shared" si="1"/>
        <v>12204.977738041493</v>
      </c>
      <c r="J22" s="787">
        <f t="shared" si="1"/>
        <v>0</v>
      </c>
      <c r="K22" s="787">
        <f t="shared" si="1"/>
        <v>0</v>
      </c>
      <c r="L22" s="787">
        <f t="shared" si="1"/>
        <v>0</v>
      </c>
      <c r="M22" s="787">
        <f t="shared" si="1"/>
        <v>0</v>
      </c>
      <c r="N22" s="787">
        <f t="shared" si="1"/>
        <v>4393.3323478429602</v>
      </c>
      <c r="O22" s="787">
        <f t="shared" si="1"/>
        <v>0</v>
      </c>
      <c r="P22" s="787">
        <f t="shared" si="1"/>
        <v>0</v>
      </c>
      <c r="Q22" s="787">
        <f t="shared" si="1"/>
        <v>0</v>
      </c>
      <c r="R22" s="787">
        <f t="shared" si="1"/>
        <v>86226.114302639689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709.48800000000006</v>
      </c>
      <c r="D24" s="991">
        <f>+landbouw!C8</f>
        <v>0</v>
      </c>
      <c r="E24" s="991">
        <f>+landbouw!D8</f>
        <v>105.841582</v>
      </c>
      <c r="F24" s="991">
        <f>+landbouw!E8</f>
        <v>6.5715750168900016</v>
      </c>
      <c r="G24" s="991">
        <f>+landbouw!F8</f>
        <v>1800.1062133252992</v>
      </c>
      <c r="H24" s="991">
        <f>+landbouw!G8</f>
        <v>0</v>
      </c>
      <c r="I24" s="991">
        <f>+landbouw!H8</f>
        <v>0</v>
      </c>
      <c r="J24" s="991">
        <f>+landbouw!I8</f>
        <v>0</v>
      </c>
      <c r="K24" s="991">
        <f>+landbouw!J8</f>
        <v>108.77242830918919</v>
      </c>
      <c r="L24" s="991">
        <f>+landbouw!K8</f>
        <v>0</v>
      </c>
      <c r="M24" s="991">
        <f>+landbouw!L8</f>
        <v>0</v>
      </c>
      <c r="N24" s="991">
        <f>+landbouw!M8</f>
        <v>0</v>
      </c>
      <c r="O24" s="991">
        <f>+landbouw!N8</f>
        <v>0</v>
      </c>
      <c r="P24" s="991">
        <f>+landbouw!O8</f>
        <v>0</v>
      </c>
      <c r="Q24" s="992">
        <f>+landbouw!P8</f>
        <v>0</v>
      </c>
      <c r="R24" s="675">
        <f>SUM(C24:Q24)</f>
        <v>2730.7797986513788</v>
      </c>
      <c r="S24" s="67"/>
    </row>
    <row r="25" spans="1:19" s="448" customFormat="1" ht="15" thickBot="1">
      <c r="A25" s="806" t="s">
        <v>849</v>
      </c>
      <c r="B25" s="994"/>
      <c r="C25" s="995">
        <f>IF(Onbekend_ele_kWh="---",0,Onbekend_ele_kWh)/1000+IF(REST_rest_ele_kWh="---",0,REST_rest_ele_kWh)/1000</f>
        <v>1145.047</v>
      </c>
      <c r="D25" s="995"/>
      <c r="E25" s="995">
        <f>IF(onbekend_gas_kWh="---",0,onbekend_gas_kWh)/1000+IF(REST_rest_gas_kWh="---",0,REST_rest_gas_kWh)/1000</f>
        <v>791.62400000000002</v>
      </c>
      <c r="F25" s="995"/>
      <c r="G25" s="995"/>
      <c r="H25" s="995"/>
      <c r="I25" s="995"/>
      <c r="J25" s="995"/>
      <c r="K25" s="995"/>
      <c r="L25" s="995"/>
      <c r="M25" s="995"/>
      <c r="N25" s="995"/>
      <c r="O25" s="995"/>
      <c r="P25" s="995"/>
      <c r="Q25" s="996"/>
      <c r="R25" s="675">
        <f>SUM(C25:Q25)</f>
        <v>1936.671</v>
      </c>
      <c r="S25" s="67"/>
    </row>
    <row r="26" spans="1:19" s="448" customFormat="1" ht="15.75" thickBot="1">
      <c r="A26" s="680" t="s">
        <v>850</v>
      </c>
      <c r="B26" s="792"/>
      <c r="C26" s="787">
        <f>SUM(C24:C25)</f>
        <v>1854.5350000000001</v>
      </c>
      <c r="D26" s="787">
        <f t="shared" ref="D26:R26" si="2">SUM(D24:D25)</f>
        <v>0</v>
      </c>
      <c r="E26" s="787">
        <f t="shared" si="2"/>
        <v>897.46558200000004</v>
      </c>
      <c r="F26" s="787">
        <f t="shared" si="2"/>
        <v>6.5715750168900016</v>
      </c>
      <c r="G26" s="787">
        <f t="shared" si="2"/>
        <v>1800.1062133252992</v>
      </c>
      <c r="H26" s="787">
        <f t="shared" si="2"/>
        <v>0</v>
      </c>
      <c r="I26" s="787">
        <f t="shared" si="2"/>
        <v>0</v>
      </c>
      <c r="J26" s="787">
        <f t="shared" si="2"/>
        <v>0</v>
      </c>
      <c r="K26" s="787">
        <f t="shared" si="2"/>
        <v>108.77242830918919</v>
      </c>
      <c r="L26" s="787">
        <f t="shared" si="2"/>
        <v>0</v>
      </c>
      <c r="M26" s="787">
        <f t="shared" si="2"/>
        <v>0</v>
      </c>
      <c r="N26" s="787">
        <f t="shared" si="2"/>
        <v>0</v>
      </c>
      <c r="O26" s="787">
        <f t="shared" si="2"/>
        <v>0</v>
      </c>
      <c r="P26" s="787">
        <f t="shared" si="2"/>
        <v>0</v>
      </c>
      <c r="Q26" s="787">
        <f t="shared" si="2"/>
        <v>0</v>
      </c>
      <c r="R26" s="787">
        <f t="shared" si="2"/>
        <v>4667.450798651379</v>
      </c>
      <c r="S26" s="67"/>
    </row>
    <row r="27" spans="1:19" s="448" customFormat="1" ht="17.25" thickTop="1" thickBot="1">
      <c r="A27" s="681" t="s">
        <v>115</v>
      </c>
      <c r="B27" s="780"/>
      <c r="C27" s="682">
        <f ca="1">C22+C16+C26</f>
        <v>44518.842887872685</v>
      </c>
      <c r="D27" s="682">
        <f t="shared" ref="D27:R27" ca="1" si="3">D22+D16+D26</f>
        <v>0</v>
      </c>
      <c r="E27" s="682">
        <f t="shared" ca="1" si="3"/>
        <v>39495.518205223882</v>
      </c>
      <c r="F27" s="682">
        <f t="shared" si="3"/>
        <v>14153.371586881944</v>
      </c>
      <c r="G27" s="682">
        <f t="shared" ca="1" si="3"/>
        <v>58145.696768033835</v>
      </c>
      <c r="H27" s="682">
        <f t="shared" si="3"/>
        <v>69406.72517316087</v>
      </c>
      <c r="I27" s="682">
        <f t="shared" si="3"/>
        <v>12204.977738041493</v>
      </c>
      <c r="J27" s="682">
        <f t="shared" si="3"/>
        <v>0</v>
      </c>
      <c r="K27" s="682">
        <f t="shared" si="3"/>
        <v>115.08884489617307</v>
      </c>
      <c r="L27" s="682">
        <f t="shared" si="3"/>
        <v>0</v>
      </c>
      <c r="M27" s="682">
        <f t="shared" ca="1" si="3"/>
        <v>0</v>
      </c>
      <c r="N27" s="682">
        <f t="shared" si="3"/>
        <v>4393.3323478429602</v>
      </c>
      <c r="O27" s="682">
        <f t="shared" ca="1" si="3"/>
        <v>6521.1759803171108</v>
      </c>
      <c r="P27" s="682">
        <f t="shared" si="3"/>
        <v>259.51333333333338</v>
      </c>
      <c r="Q27" s="682">
        <f t="shared" si="3"/>
        <v>800.80000000000007</v>
      </c>
      <c r="R27" s="682">
        <f t="shared" ca="1" si="3"/>
        <v>250015.04286560428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2791.5966441960577</v>
      </c>
      <c r="D40" s="991">
        <f ca="1">tertiair!C20</f>
        <v>0</v>
      </c>
      <c r="E40" s="991">
        <f ca="1">tertiair!D20</f>
        <v>1528.3408173000005</v>
      </c>
      <c r="F40" s="991">
        <f>tertiair!E20</f>
        <v>21.756801324016518</v>
      </c>
      <c r="G40" s="991">
        <f ca="1">tertiair!F20</f>
        <v>459.15902169713087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4800.8532845172049</v>
      </c>
    </row>
    <row r="41" spans="1:18">
      <c r="A41" s="797" t="s">
        <v>224</v>
      </c>
      <c r="B41" s="804"/>
      <c r="C41" s="991">
        <f ca="1">huishoudens!B12</f>
        <v>5164.9284890091703</v>
      </c>
      <c r="D41" s="991">
        <f ca="1">huishoudens!C12</f>
        <v>0</v>
      </c>
      <c r="E41" s="991">
        <f>huishoudens!D12</f>
        <v>6131.5341097120008</v>
      </c>
      <c r="F41" s="991">
        <f>huishoudens!E12</f>
        <v>3111.6847770294949</v>
      </c>
      <c r="G41" s="991">
        <f>huishoudens!F12</f>
        <v>14349.081488620803</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28757.228864371471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246.62569361219326</v>
      </c>
      <c r="D43" s="991">
        <f ca="1">industrie!C22</f>
        <v>0</v>
      </c>
      <c r="E43" s="991">
        <f>industrie!D22</f>
        <v>132.84402538000001</v>
      </c>
      <c r="F43" s="991">
        <f>industrie!E22</f>
        <v>34.441212654671823</v>
      </c>
      <c r="G43" s="991">
        <f>industrie!F22</f>
        <v>236.03216778924818</v>
      </c>
      <c r="H43" s="991">
        <f>industrie!G22</f>
        <v>0</v>
      </c>
      <c r="I43" s="991">
        <f>industrie!H22</f>
        <v>0</v>
      </c>
      <c r="J43" s="991">
        <f>industrie!I22</f>
        <v>0</v>
      </c>
      <c r="K43" s="991">
        <f>industrie!J22</f>
        <v>2.2360114717922914</v>
      </c>
      <c r="L43" s="991">
        <f>industrie!K22</f>
        <v>0</v>
      </c>
      <c r="M43" s="991">
        <f>industrie!L22</f>
        <v>0</v>
      </c>
      <c r="N43" s="991">
        <f>industrie!M22</f>
        <v>0</v>
      </c>
      <c r="O43" s="991">
        <f>industrie!N22</f>
        <v>0</v>
      </c>
      <c r="P43" s="991">
        <f>industrie!O22</f>
        <v>0</v>
      </c>
      <c r="Q43" s="749">
        <f>industrie!P22</f>
        <v>0</v>
      </c>
      <c r="R43" s="824">
        <f t="shared" ca="1" si="4"/>
        <v>652.17911090790551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8203.1508268174221</v>
      </c>
      <c r="D46" s="707">
        <f t="shared" ref="D46:Q46" ca="1" si="5">SUM(D39:D45)</f>
        <v>0</v>
      </c>
      <c r="E46" s="707">
        <f t="shared" ca="1" si="5"/>
        <v>7792.7189523920015</v>
      </c>
      <c r="F46" s="707">
        <f t="shared" si="5"/>
        <v>3167.8827910081832</v>
      </c>
      <c r="G46" s="707">
        <f t="shared" ca="1" si="5"/>
        <v>15044.272678107181</v>
      </c>
      <c r="H46" s="707">
        <f t="shared" si="5"/>
        <v>0</v>
      </c>
      <c r="I46" s="707">
        <f t="shared" si="5"/>
        <v>0</v>
      </c>
      <c r="J46" s="707">
        <f t="shared" si="5"/>
        <v>0</v>
      </c>
      <c r="K46" s="707">
        <f t="shared" si="5"/>
        <v>2.2360114717922914</v>
      </c>
      <c r="L46" s="707">
        <f t="shared" si="5"/>
        <v>0</v>
      </c>
      <c r="M46" s="707">
        <f t="shared" ca="1" si="5"/>
        <v>0</v>
      </c>
      <c r="N46" s="707">
        <f t="shared" si="5"/>
        <v>0</v>
      </c>
      <c r="O46" s="707">
        <f t="shared" ca="1" si="5"/>
        <v>0</v>
      </c>
      <c r="P46" s="707">
        <f t="shared" si="5"/>
        <v>0</v>
      </c>
      <c r="Q46" s="707">
        <f t="shared" si="5"/>
        <v>0</v>
      </c>
      <c r="R46" s="707">
        <f ca="1">SUM(R39:R45)</f>
        <v>34210.261259796578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963.13912570491243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963.13912570491243</v>
      </c>
    </row>
    <row r="50" spans="1:18">
      <c r="A50" s="800" t="s">
        <v>306</v>
      </c>
      <c r="B50" s="810"/>
      <c r="C50" s="678">
        <f ca="1">transport!B18</f>
        <v>1.8219511935894719</v>
      </c>
      <c r="D50" s="678">
        <f>transport!C18</f>
        <v>0</v>
      </c>
      <c r="E50" s="678">
        <f>transport!D18</f>
        <v>4.087677499224653</v>
      </c>
      <c r="F50" s="678">
        <f>transport!E18</f>
        <v>43.440811685184229</v>
      </c>
      <c r="G50" s="678">
        <f>transport!F18</f>
        <v>0</v>
      </c>
      <c r="H50" s="678">
        <f>transport!G18</f>
        <v>17568.456495529041</v>
      </c>
      <c r="I50" s="678">
        <f>transport!H18</f>
        <v>3039.0394567723315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20656.84639267937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1.8219511935894719</v>
      </c>
      <c r="D52" s="707">
        <f t="shared" ref="D52:Q52" ca="1" si="6">SUM(D48:D51)</f>
        <v>0</v>
      </c>
      <c r="E52" s="707">
        <f t="shared" si="6"/>
        <v>4.087677499224653</v>
      </c>
      <c r="F52" s="707">
        <f t="shared" si="6"/>
        <v>43.440811685184229</v>
      </c>
      <c r="G52" s="707">
        <f t="shared" si="6"/>
        <v>0</v>
      </c>
      <c r="H52" s="707">
        <f t="shared" si="6"/>
        <v>18531.595621233952</v>
      </c>
      <c r="I52" s="707">
        <f t="shared" si="6"/>
        <v>3039.0394567723315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21619.985518384281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136.44495866719984</v>
      </c>
      <c r="D54" s="678">
        <f ca="1">+landbouw!C12</f>
        <v>0</v>
      </c>
      <c r="E54" s="678">
        <f>+landbouw!D12</f>
        <v>21.379999564000002</v>
      </c>
      <c r="F54" s="678">
        <f>+landbouw!E12</f>
        <v>1.4917475288340305</v>
      </c>
      <c r="G54" s="678">
        <f>+landbouw!F12</f>
        <v>480.62835895785491</v>
      </c>
      <c r="H54" s="678">
        <f>+landbouw!G12</f>
        <v>0</v>
      </c>
      <c r="I54" s="678">
        <f>+landbouw!H12</f>
        <v>0</v>
      </c>
      <c r="J54" s="678">
        <f>+landbouw!I12</f>
        <v>0</v>
      </c>
      <c r="K54" s="678">
        <f>+landbouw!J12</f>
        <v>38.505439621452972</v>
      </c>
      <c r="L54" s="678">
        <f>+landbouw!K12</f>
        <v>0</v>
      </c>
      <c r="M54" s="678">
        <f>+landbouw!L12</f>
        <v>0</v>
      </c>
      <c r="N54" s="678">
        <f>+landbouw!M12</f>
        <v>0</v>
      </c>
      <c r="O54" s="678">
        <f>+landbouw!N12</f>
        <v>0</v>
      </c>
      <c r="P54" s="678">
        <f>+landbouw!O12</f>
        <v>0</v>
      </c>
      <c r="Q54" s="679">
        <f>+landbouw!P12</f>
        <v>0</v>
      </c>
      <c r="R54" s="706">
        <f ca="1">SUM(C54:Q54)</f>
        <v>678.45050433934171</v>
      </c>
    </row>
    <row r="55" spans="1:18" ht="15" thickBot="1">
      <c r="A55" s="800" t="s">
        <v>849</v>
      </c>
      <c r="B55" s="810"/>
      <c r="C55" s="678">
        <f ca="1">C25*'EF ele_warmte'!B12</f>
        <v>220.20934897701042</v>
      </c>
      <c r="D55" s="678"/>
      <c r="E55" s="678">
        <f>E25*EF_CO2_aardgas</f>
        <v>159.90804800000001</v>
      </c>
      <c r="F55" s="678"/>
      <c r="G55" s="678"/>
      <c r="H55" s="678"/>
      <c r="I55" s="678"/>
      <c r="J55" s="678"/>
      <c r="K55" s="678"/>
      <c r="L55" s="678"/>
      <c r="M55" s="678"/>
      <c r="N55" s="678"/>
      <c r="O55" s="678"/>
      <c r="P55" s="678"/>
      <c r="Q55" s="679"/>
      <c r="R55" s="706">
        <f ca="1">SUM(C55:Q55)</f>
        <v>380.11739697701046</v>
      </c>
    </row>
    <row r="56" spans="1:18" ht="15.75" thickBot="1">
      <c r="A56" s="798" t="s">
        <v>850</v>
      </c>
      <c r="B56" s="811"/>
      <c r="C56" s="707">
        <f ca="1">SUM(C54:C55)</f>
        <v>356.65430764421023</v>
      </c>
      <c r="D56" s="707">
        <f t="shared" ref="D56:Q56" ca="1" si="7">SUM(D54:D55)</f>
        <v>0</v>
      </c>
      <c r="E56" s="707">
        <f t="shared" si="7"/>
        <v>181.28804756400001</v>
      </c>
      <c r="F56" s="707">
        <f t="shared" si="7"/>
        <v>1.4917475288340305</v>
      </c>
      <c r="G56" s="707">
        <f t="shared" si="7"/>
        <v>480.62835895785491</v>
      </c>
      <c r="H56" s="707">
        <f t="shared" si="7"/>
        <v>0</v>
      </c>
      <c r="I56" s="707">
        <f t="shared" si="7"/>
        <v>0</v>
      </c>
      <c r="J56" s="707">
        <f t="shared" si="7"/>
        <v>0</v>
      </c>
      <c r="K56" s="707">
        <f t="shared" si="7"/>
        <v>38.505439621452972</v>
      </c>
      <c r="L56" s="707">
        <f t="shared" si="7"/>
        <v>0</v>
      </c>
      <c r="M56" s="707">
        <f t="shared" si="7"/>
        <v>0</v>
      </c>
      <c r="N56" s="707">
        <f t="shared" si="7"/>
        <v>0</v>
      </c>
      <c r="O56" s="707">
        <f t="shared" si="7"/>
        <v>0</v>
      </c>
      <c r="P56" s="707">
        <f t="shared" si="7"/>
        <v>0</v>
      </c>
      <c r="Q56" s="708">
        <f t="shared" si="7"/>
        <v>0</v>
      </c>
      <c r="R56" s="709">
        <f ca="1">SUM(R54:R55)</f>
        <v>1058.5679013163522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8561.6270856552219</v>
      </c>
      <c r="D61" s="715">
        <f t="shared" ref="D61:Q61" ca="1" si="8">D46+D52+D56</f>
        <v>0</v>
      </c>
      <c r="E61" s="715">
        <f t="shared" ca="1" si="8"/>
        <v>7978.0946774552267</v>
      </c>
      <c r="F61" s="715">
        <f t="shared" si="8"/>
        <v>3212.8153502222012</v>
      </c>
      <c r="G61" s="715">
        <f t="shared" ca="1" si="8"/>
        <v>15524.901037065036</v>
      </c>
      <c r="H61" s="715">
        <f t="shared" si="8"/>
        <v>18531.595621233952</v>
      </c>
      <c r="I61" s="715">
        <f t="shared" si="8"/>
        <v>3039.0394567723315</v>
      </c>
      <c r="J61" s="715">
        <f t="shared" si="8"/>
        <v>0</v>
      </c>
      <c r="K61" s="715">
        <f t="shared" si="8"/>
        <v>40.74145109324526</v>
      </c>
      <c r="L61" s="715">
        <f t="shared" si="8"/>
        <v>0</v>
      </c>
      <c r="M61" s="715">
        <f t="shared" ca="1" si="8"/>
        <v>0</v>
      </c>
      <c r="N61" s="715">
        <f t="shared" si="8"/>
        <v>0</v>
      </c>
      <c r="O61" s="715">
        <f t="shared" ca="1" si="8"/>
        <v>0</v>
      </c>
      <c r="P61" s="715">
        <f t="shared" si="8"/>
        <v>0</v>
      </c>
      <c r="Q61" s="715">
        <f t="shared" si="8"/>
        <v>0</v>
      </c>
      <c r="R61" s="715">
        <f ca="1">R46+R52+R56</f>
        <v>56888.814679497213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0.19231468138601335</v>
      </c>
      <c r="D63" s="756">
        <f t="shared" ca="1" si="9"/>
        <v>0</v>
      </c>
      <c r="E63" s="1002">
        <f t="shared" ca="1" si="9"/>
        <v>0.20200000000000007</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4963.9488351341233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814.5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2327.1428571428573</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5778.4488351341233</v>
      </c>
      <c r="C78" s="730">
        <f>SUM(C72:C77)</f>
        <v>0</v>
      </c>
      <c r="D78" s="731">
        <f t="shared" ref="D78:H78" si="10">SUM(D76:D77)</f>
        <v>0</v>
      </c>
      <c r="E78" s="731">
        <f t="shared" si="10"/>
        <v>0</v>
      </c>
      <c r="F78" s="731">
        <f t="shared" si="10"/>
        <v>0</v>
      </c>
      <c r="G78" s="731">
        <f t="shared" si="10"/>
        <v>0</v>
      </c>
      <c r="H78" s="731">
        <f t="shared" si="10"/>
        <v>0</v>
      </c>
      <c r="I78" s="731">
        <f>SUM(I76:I77)</f>
        <v>0</v>
      </c>
      <c r="J78" s="731">
        <f>SUM(J76:J77)</f>
        <v>2327.1428571428573</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4963.9488351341233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814.5</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5778.4488351341233</v>
      </c>
      <c r="C10" s="558">
        <f t="shared" ref="C10:L10" si="0">SUM(C8:C9)</f>
        <v>0</v>
      </c>
      <c r="D10" s="558">
        <f t="shared" si="0"/>
        <v>0</v>
      </c>
      <c r="E10" s="558">
        <f t="shared" si="0"/>
        <v>0</v>
      </c>
      <c r="F10" s="558">
        <f t="shared" si="0"/>
        <v>0</v>
      </c>
      <c r="G10" s="558">
        <f t="shared" si="0"/>
        <v>0</v>
      </c>
      <c r="H10" s="558">
        <f t="shared" si="0"/>
        <v>0</v>
      </c>
      <c r="I10" s="558">
        <f t="shared" si="0"/>
        <v>0</v>
      </c>
      <c r="J10" s="558">
        <f t="shared" si="0"/>
        <v>2327.1428571428573</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63.75">
      <c r="A35" s="582"/>
      <c r="B35" s="771">
        <v>24066</v>
      </c>
      <c r="C35" s="771">
        <v>3210</v>
      </c>
      <c r="D35" s="630" t="s">
        <v>913</v>
      </c>
      <c r="E35" s="630" t="s">
        <v>914</v>
      </c>
      <c r="F35" s="630" t="s">
        <v>915</v>
      </c>
      <c r="G35" s="630" t="s">
        <v>916</v>
      </c>
      <c r="H35" s="630" t="s">
        <v>917</v>
      </c>
      <c r="I35" s="630" t="s">
        <v>918</v>
      </c>
      <c r="J35" s="770">
        <v>34344</v>
      </c>
      <c r="K35" s="770">
        <v>37803</v>
      </c>
      <c r="L35" s="630" t="s">
        <v>919</v>
      </c>
      <c r="M35" s="630">
        <v>181</v>
      </c>
      <c r="N35" s="630">
        <v>814.5</v>
      </c>
      <c r="O35" s="630">
        <v>0</v>
      </c>
      <c r="P35" s="630">
        <v>0</v>
      </c>
      <c r="Q35" s="630">
        <v>0</v>
      </c>
      <c r="R35" s="630">
        <v>2327.1428571428573</v>
      </c>
      <c r="S35" s="630">
        <v>0</v>
      </c>
      <c r="T35" s="630">
        <v>0</v>
      </c>
      <c r="U35" s="630">
        <v>0</v>
      </c>
      <c r="V35" s="630">
        <v>0</v>
      </c>
      <c r="W35" s="630">
        <v>0</v>
      </c>
      <c r="X35" s="630">
        <v>1600</v>
      </c>
      <c r="Y35" s="630" t="s">
        <v>49</v>
      </c>
      <c r="Z35" s="631" t="s">
        <v>155</v>
      </c>
    </row>
    <row r="36" spans="1:27" s="565" customFormat="1">
      <c r="A36" s="583" t="s">
        <v>279</v>
      </c>
      <c r="B36" s="584"/>
      <c r="C36" s="584"/>
      <c r="D36" s="584"/>
      <c r="E36" s="584"/>
      <c r="F36" s="584"/>
      <c r="G36" s="584"/>
      <c r="H36" s="584"/>
      <c r="I36" s="584"/>
      <c r="J36" s="584"/>
      <c r="K36" s="584"/>
      <c r="L36" s="585"/>
      <c r="M36" s="585">
        <f>SUM(M35:M35)</f>
        <v>181</v>
      </c>
      <c r="N36" s="585">
        <f>SUM(N35:N35)</f>
        <v>814.5</v>
      </c>
      <c r="O36" s="585">
        <f>SUM(O35:O35)</f>
        <v>0</v>
      </c>
      <c r="P36" s="585">
        <f>SUM(P35:P35)</f>
        <v>0</v>
      </c>
      <c r="Q36" s="585">
        <f>SUM(Q35:Q35)</f>
        <v>0</v>
      </c>
      <c r="R36" s="585">
        <f>SUM(R35:R35)</f>
        <v>2327.1428571428573</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181</v>
      </c>
      <c r="N38" s="585">
        <f>SUMIF($Z$35:$Z$36,"tertiair",N35:N36)</f>
        <v>814.5</v>
      </c>
      <c r="O38" s="585">
        <f>SUMIF($Z$35:$Z$36,"tertiair",O35:O36)</f>
        <v>0</v>
      </c>
      <c r="P38" s="585">
        <f>SUMIF($Z$35:$Z$36,"tertiair",P35:P36)</f>
        <v>0</v>
      </c>
      <c r="Q38" s="585">
        <f>SUMIF($Z$35:$Z$36,"tertiair",Q35:Q36)</f>
        <v>0</v>
      </c>
      <c r="R38" s="585">
        <f>SUMIF($Z$35:$Z$36,"tertiair",R35:R36)</f>
        <v>2327.1428571428573</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26856.652085974361</v>
      </c>
      <c r="C4" s="452">
        <f>huishoudens!C8</f>
        <v>0</v>
      </c>
      <c r="D4" s="452">
        <f>huishoudens!D8</f>
        <v>30354.129256</v>
      </c>
      <c r="E4" s="452">
        <f>huishoudens!E8</f>
        <v>13707.862453874426</v>
      </c>
      <c r="F4" s="452">
        <f>huishoudens!F8</f>
        <v>53741.878234534837</v>
      </c>
      <c r="G4" s="452">
        <f>huishoudens!G8</f>
        <v>0</v>
      </c>
      <c r="H4" s="452">
        <f>huishoudens!H8</f>
        <v>0</v>
      </c>
      <c r="I4" s="452">
        <f>huishoudens!I8</f>
        <v>0</v>
      </c>
      <c r="J4" s="452">
        <f>huishoudens!J8</f>
        <v>0</v>
      </c>
      <c r="K4" s="452">
        <f>huishoudens!K8</f>
        <v>0</v>
      </c>
      <c r="L4" s="452">
        <f>huishoudens!L8</f>
        <v>0</v>
      </c>
      <c r="M4" s="452">
        <f>huishoudens!M8</f>
        <v>0</v>
      </c>
      <c r="N4" s="452">
        <f>huishoudens!N8</f>
        <v>6354.6798806049064</v>
      </c>
      <c r="O4" s="452">
        <f>huishoudens!O8</f>
        <v>254.82333333333335</v>
      </c>
      <c r="P4" s="453">
        <f>huishoudens!P8</f>
        <v>762.66666666666674</v>
      </c>
      <c r="Q4" s="454">
        <f>SUM(B4:P4)</f>
        <v>132032.69191098853</v>
      </c>
    </row>
    <row r="5" spans="1:17">
      <c r="A5" s="451" t="s">
        <v>155</v>
      </c>
      <c r="B5" s="452">
        <f ca="1">tertiair!B16</f>
        <v>13633.31</v>
      </c>
      <c r="C5" s="452">
        <f ca="1">tertiair!C16</f>
        <v>0</v>
      </c>
      <c r="D5" s="452">
        <f ca="1">tertiair!D16</f>
        <v>7566.0436500000014</v>
      </c>
      <c r="E5" s="452">
        <f>tertiair!E16</f>
        <v>95.844939753376735</v>
      </c>
      <c r="F5" s="452">
        <f ca="1">tertiair!F16</f>
        <v>1719.6967104761454</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4.6900000000000004</v>
      </c>
      <c r="P5" s="453">
        <f>tertiair!P16</f>
        <v>38.133333333333333</v>
      </c>
      <c r="Q5" s="451">
        <f t="shared" ref="Q5:Q14" ca="1" si="0">SUM(B5:P5)</f>
        <v>23057.718633562858</v>
      </c>
    </row>
    <row r="6" spans="1:17">
      <c r="A6" s="451" t="s">
        <v>193</v>
      </c>
      <c r="B6" s="452">
        <f>'openbare verlichting'!B8</f>
        <v>882.46500000000003</v>
      </c>
      <c r="C6" s="452"/>
      <c r="D6" s="452"/>
      <c r="E6" s="452"/>
      <c r="F6" s="452"/>
      <c r="G6" s="452"/>
      <c r="H6" s="452"/>
      <c r="I6" s="452"/>
      <c r="J6" s="452"/>
      <c r="K6" s="452"/>
      <c r="L6" s="452"/>
      <c r="M6" s="452"/>
      <c r="N6" s="452"/>
      <c r="O6" s="452"/>
      <c r="P6" s="453"/>
      <c r="Q6" s="451">
        <f t="shared" si="0"/>
        <v>882.46500000000003</v>
      </c>
    </row>
    <row r="7" spans="1:17">
      <c r="A7" s="451" t="s">
        <v>111</v>
      </c>
      <c r="B7" s="452">
        <f>landbouw!B8</f>
        <v>709.48800000000006</v>
      </c>
      <c r="C7" s="452">
        <f>landbouw!C8</f>
        <v>0</v>
      </c>
      <c r="D7" s="452">
        <f>landbouw!D8</f>
        <v>105.841582</v>
      </c>
      <c r="E7" s="452">
        <f>landbouw!E8</f>
        <v>6.5715750168900016</v>
      </c>
      <c r="F7" s="452">
        <f>landbouw!F8</f>
        <v>1800.1062133252992</v>
      </c>
      <c r="G7" s="452">
        <f>landbouw!G8</f>
        <v>0</v>
      </c>
      <c r="H7" s="452">
        <f>landbouw!H8</f>
        <v>0</v>
      </c>
      <c r="I7" s="452">
        <f>landbouw!I8</f>
        <v>0</v>
      </c>
      <c r="J7" s="452">
        <f>landbouw!J8</f>
        <v>108.77242830918919</v>
      </c>
      <c r="K7" s="452">
        <f>landbouw!K8</f>
        <v>0</v>
      </c>
      <c r="L7" s="452">
        <f>landbouw!L8</f>
        <v>0</v>
      </c>
      <c r="M7" s="452">
        <f>landbouw!M8</f>
        <v>0</v>
      </c>
      <c r="N7" s="452">
        <f>landbouw!N8</f>
        <v>0</v>
      </c>
      <c r="O7" s="452">
        <f>landbouw!O8</f>
        <v>0</v>
      </c>
      <c r="P7" s="453">
        <f>landbouw!P8</f>
        <v>0</v>
      </c>
      <c r="Q7" s="451">
        <f t="shared" si="0"/>
        <v>2730.7797986513788</v>
      </c>
    </row>
    <row r="8" spans="1:17">
      <c r="A8" s="451" t="s">
        <v>649</v>
      </c>
      <c r="B8" s="452">
        <f>industrie!B18</f>
        <v>1282.4070000000002</v>
      </c>
      <c r="C8" s="452">
        <f>industrie!C18</f>
        <v>0</v>
      </c>
      <c r="D8" s="452">
        <f>industrie!D18</f>
        <v>657.64368999999999</v>
      </c>
      <c r="E8" s="452">
        <f>industrie!E18</f>
        <v>151.7234037650741</v>
      </c>
      <c r="F8" s="452">
        <f>industrie!F18</f>
        <v>884.01560969755872</v>
      </c>
      <c r="G8" s="452">
        <f>industrie!G18</f>
        <v>0</v>
      </c>
      <c r="H8" s="452">
        <f>industrie!H18</f>
        <v>0</v>
      </c>
      <c r="I8" s="452">
        <f>industrie!I18</f>
        <v>0</v>
      </c>
      <c r="J8" s="452">
        <f>industrie!J18</f>
        <v>6.3164165869838742</v>
      </c>
      <c r="K8" s="452">
        <f>industrie!K18</f>
        <v>0</v>
      </c>
      <c r="L8" s="452">
        <f>industrie!L18</f>
        <v>0</v>
      </c>
      <c r="M8" s="452">
        <f>industrie!M18</f>
        <v>0</v>
      </c>
      <c r="N8" s="452">
        <f>industrie!N18</f>
        <v>166.496099712204</v>
      </c>
      <c r="O8" s="452">
        <f>industrie!O18</f>
        <v>0</v>
      </c>
      <c r="P8" s="453">
        <f>industrie!P18</f>
        <v>0</v>
      </c>
      <c r="Q8" s="451">
        <f t="shared" si="0"/>
        <v>3148.6022197618208</v>
      </c>
    </row>
    <row r="9" spans="1:17" s="457" customFormat="1">
      <c r="A9" s="455" t="s">
        <v>570</v>
      </c>
      <c r="B9" s="456">
        <f>transport!B14</f>
        <v>9.473801898319234</v>
      </c>
      <c r="C9" s="456">
        <f>transport!C14</f>
        <v>0</v>
      </c>
      <c r="D9" s="456">
        <f>transport!D14</f>
        <v>20.23602722388442</v>
      </c>
      <c r="E9" s="456">
        <f>transport!E14</f>
        <v>191.36921447217722</v>
      </c>
      <c r="F9" s="456">
        <f>transport!F14</f>
        <v>0</v>
      </c>
      <c r="G9" s="456">
        <f>transport!G14</f>
        <v>65799.462530071309</v>
      </c>
      <c r="H9" s="456">
        <f>transport!H14</f>
        <v>12204.977738041493</v>
      </c>
      <c r="I9" s="456">
        <f>transport!I14</f>
        <v>0</v>
      </c>
      <c r="J9" s="456">
        <f>transport!J14</f>
        <v>0</v>
      </c>
      <c r="K9" s="456">
        <f>transport!K14</f>
        <v>0</v>
      </c>
      <c r="L9" s="456">
        <f>transport!L14</f>
        <v>0</v>
      </c>
      <c r="M9" s="456">
        <f>transport!M14</f>
        <v>4187.1521946177263</v>
      </c>
      <c r="N9" s="456">
        <f>transport!N14</f>
        <v>0</v>
      </c>
      <c r="O9" s="456">
        <f>transport!O14</f>
        <v>0</v>
      </c>
      <c r="P9" s="456">
        <f>transport!P14</f>
        <v>0</v>
      </c>
      <c r="Q9" s="455">
        <f>SUM(B9:P9)</f>
        <v>82412.671506324899</v>
      </c>
    </row>
    <row r="10" spans="1:17">
      <c r="A10" s="451" t="s">
        <v>560</v>
      </c>
      <c r="B10" s="452">
        <f>transport!B54</f>
        <v>0</v>
      </c>
      <c r="C10" s="452">
        <f>transport!C54</f>
        <v>0</v>
      </c>
      <c r="D10" s="452">
        <f>transport!D54</f>
        <v>0</v>
      </c>
      <c r="E10" s="452">
        <f>transport!E54</f>
        <v>0</v>
      </c>
      <c r="F10" s="452">
        <f>transport!F54</f>
        <v>0</v>
      </c>
      <c r="G10" s="452">
        <f>transport!G54</f>
        <v>3607.2626430895593</v>
      </c>
      <c r="H10" s="452">
        <f>transport!H54</f>
        <v>0</v>
      </c>
      <c r="I10" s="452">
        <f>transport!I54</f>
        <v>0</v>
      </c>
      <c r="J10" s="452">
        <f>transport!J54</f>
        <v>0</v>
      </c>
      <c r="K10" s="452">
        <f>transport!K54</f>
        <v>0</v>
      </c>
      <c r="L10" s="452">
        <f>transport!L54</f>
        <v>0</v>
      </c>
      <c r="M10" s="452">
        <f>transport!M54</f>
        <v>206.18015322523357</v>
      </c>
      <c r="N10" s="452">
        <f>transport!N54</f>
        <v>0</v>
      </c>
      <c r="O10" s="452">
        <f>transport!O54</f>
        <v>0</v>
      </c>
      <c r="P10" s="453">
        <f>transport!P54</f>
        <v>0</v>
      </c>
      <c r="Q10" s="451">
        <f t="shared" si="0"/>
        <v>3813.4427963147928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1145.047</v>
      </c>
      <c r="C14" s="459"/>
      <c r="D14" s="459">
        <f>'SEAP template'!E25</f>
        <v>791.62400000000002</v>
      </c>
      <c r="E14" s="459"/>
      <c r="F14" s="459"/>
      <c r="G14" s="459"/>
      <c r="H14" s="459"/>
      <c r="I14" s="459"/>
      <c r="J14" s="459"/>
      <c r="K14" s="459"/>
      <c r="L14" s="459"/>
      <c r="M14" s="459"/>
      <c r="N14" s="459"/>
      <c r="O14" s="459"/>
      <c r="P14" s="460"/>
      <c r="Q14" s="451">
        <f t="shared" si="0"/>
        <v>1936.671</v>
      </c>
    </row>
    <row r="15" spans="1:17" s="461" customFormat="1">
      <c r="A15" s="1017" t="s">
        <v>564</v>
      </c>
      <c r="B15" s="957">
        <f ca="1">SUM(B4:B14)</f>
        <v>44518.84288787267</v>
      </c>
      <c r="C15" s="957">
        <f t="shared" ref="C15:Q15" ca="1" si="1">SUM(C4:C14)</f>
        <v>0</v>
      </c>
      <c r="D15" s="957">
        <f t="shared" ca="1" si="1"/>
        <v>39495.518205223889</v>
      </c>
      <c r="E15" s="957">
        <f t="shared" si="1"/>
        <v>14153.371586881944</v>
      </c>
      <c r="F15" s="957">
        <f t="shared" ca="1" si="1"/>
        <v>58145.696768033835</v>
      </c>
      <c r="G15" s="957">
        <f t="shared" si="1"/>
        <v>69406.72517316087</v>
      </c>
      <c r="H15" s="957">
        <f t="shared" si="1"/>
        <v>12204.977738041493</v>
      </c>
      <c r="I15" s="957">
        <f t="shared" si="1"/>
        <v>0</v>
      </c>
      <c r="J15" s="957">
        <f t="shared" si="1"/>
        <v>115.08884489617307</v>
      </c>
      <c r="K15" s="957">
        <f t="shared" si="1"/>
        <v>0</v>
      </c>
      <c r="L15" s="957">
        <f t="shared" ca="1" si="1"/>
        <v>0</v>
      </c>
      <c r="M15" s="957">
        <f t="shared" si="1"/>
        <v>4393.3323478429602</v>
      </c>
      <c r="N15" s="957">
        <f t="shared" ca="1" si="1"/>
        <v>6521.1759803171108</v>
      </c>
      <c r="O15" s="957">
        <f t="shared" si="1"/>
        <v>259.51333333333338</v>
      </c>
      <c r="P15" s="957">
        <f t="shared" si="1"/>
        <v>800.80000000000007</v>
      </c>
      <c r="Q15" s="957">
        <f t="shared" ca="1" si="1"/>
        <v>250015.04286560428</v>
      </c>
    </row>
    <row r="17" spans="1:17">
      <c r="A17" s="462" t="s">
        <v>565</v>
      </c>
      <c r="B17" s="761">
        <f ca="1">huishoudens!B10</f>
        <v>0.19231468138601335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5164.9284890091703</v>
      </c>
      <c r="C22" s="452">
        <f t="shared" ref="C22:C32" ca="1" si="3">C4*$C$17</f>
        <v>0</v>
      </c>
      <c r="D22" s="452">
        <f t="shared" ref="D22:D32" si="4">D4*$D$17</f>
        <v>6131.5341097120008</v>
      </c>
      <c r="E22" s="452">
        <f t="shared" ref="E22:E32" si="5">E4*$E$17</f>
        <v>3111.6847770294949</v>
      </c>
      <c r="F22" s="452">
        <f t="shared" ref="F22:F32" si="6">F4*$F$17</f>
        <v>14349.081488620803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28757.228864371471</v>
      </c>
    </row>
    <row r="23" spans="1:17">
      <c r="A23" s="451" t="s">
        <v>155</v>
      </c>
      <c r="B23" s="452">
        <f t="shared" ca="1" si="2"/>
        <v>2621.8856688867495</v>
      </c>
      <c r="C23" s="452">
        <f t="shared" ca="1" si="3"/>
        <v>0</v>
      </c>
      <c r="D23" s="452">
        <f t="shared" ca="1" si="4"/>
        <v>1528.3408173000005</v>
      </c>
      <c r="E23" s="452">
        <f t="shared" si="5"/>
        <v>21.756801324016518</v>
      </c>
      <c r="F23" s="452">
        <f t="shared" ca="1" si="6"/>
        <v>459.15902169713087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4631.1423092078967</v>
      </c>
    </row>
    <row r="24" spans="1:17">
      <c r="A24" s="451" t="s">
        <v>193</v>
      </c>
      <c r="B24" s="452">
        <f t="shared" ca="1" si="2"/>
        <v>169.71097530930828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169.71097530930828</v>
      </c>
    </row>
    <row r="25" spans="1:17">
      <c r="A25" s="451" t="s">
        <v>111</v>
      </c>
      <c r="B25" s="452">
        <f t="shared" ca="1" si="2"/>
        <v>136.44495866719984</v>
      </c>
      <c r="C25" s="452">
        <f t="shared" ca="1" si="3"/>
        <v>0</v>
      </c>
      <c r="D25" s="452">
        <f t="shared" si="4"/>
        <v>21.379999564000002</v>
      </c>
      <c r="E25" s="452">
        <f t="shared" si="5"/>
        <v>1.4917475288340305</v>
      </c>
      <c r="F25" s="452">
        <f t="shared" si="6"/>
        <v>480.62835895785491</v>
      </c>
      <c r="G25" s="452">
        <f t="shared" si="7"/>
        <v>0</v>
      </c>
      <c r="H25" s="452">
        <f t="shared" si="8"/>
        <v>0</v>
      </c>
      <c r="I25" s="452">
        <f t="shared" si="9"/>
        <v>0</v>
      </c>
      <c r="J25" s="452">
        <f t="shared" si="10"/>
        <v>38.505439621452972</v>
      </c>
      <c r="K25" s="452">
        <f t="shared" si="11"/>
        <v>0</v>
      </c>
      <c r="L25" s="452">
        <f t="shared" si="12"/>
        <v>0</v>
      </c>
      <c r="M25" s="452">
        <f t="shared" si="13"/>
        <v>0</v>
      </c>
      <c r="N25" s="452">
        <f t="shared" si="14"/>
        <v>0</v>
      </c>
      <c r="O25" s="452">
        <f t="shared" si="15"/>
        <v>0</v>
      </c>
      <c r="P25" s="453">
        <f t="shared" si="16"/>
        <v>0</v>
      </c>
      <c r="Q25" s="451">
        <f t="shared" ca="1" si="17"/>
        <v>678.45050433934171</v>
      </c>
    </row>
    <row r="26" spans="1:17">
      <c r="A26" s="451" t="s">
        <v>649</v>
      </c>
      <c r="B26" s="452">
        <f t="shared" ca="1" si="2"/>
        <v>246.62569361219326</v>
      </c>
      <c r="C26" s="452">
        <f t="shared" ca="1" si="3"/>
        <v>0</v>
      </c>
      <c r="D26" s="452">
        <f t="shared" si="4"/>
        <v>132.84402538000001</v>
      </c>
      <c r="E26" s="452">
        <f t="shared" si="5"/>
        <v>34.441212654671823</v>
      </c>
      <c r="F26" s="452">
        <f t="shared" si="6"/>
        <v>236.03216778924818</v>
      </c>
      <c r="G26" s="452">
        <f t="shared" si="7"/>
        <v>0</v>
      </c>
      <c r="H26" s="452">
        <f t="shared" si="8"/>
        <v>0</v>
      </c>
      <c r="I26" s="452">
        <f t="shared" si="9"/>
        <v>0</v>
      </c>
      <c r="J26" s="452">
        <f t="shared" si="10"/>
        <v>2.2360114717922914</v>
      </c>
      <c r="K26" s="452">
        <f t="shared" si="11"/>
        <v>0</v>
      </c>
      <c r="L26" s="452">
        <f t="shared" si="12"/>
        <v>0</v>
      </c>
      <c r="M26" s="452">
        <f t="shared" si="13"/>
        <v>0</v>
      </c>
      <c r="N26" s="452">
        <f t="shared" si="14"/>
        <v>0</v>
      </c>
      <c r="O26" s="452">
        <f t="shared" si="15"/>
        <v>0</v>
      </c>
      <c r="P26" s="453">
        <f t="shared" si="16"/>
        <v>0</v>
      </c>
      <c r="Q26" s="451">
        <f t="shared" ca="1" si="17"/>
        <v>652.17911090790551</v>
      </c>
    </row>
    <row r="27" spans="1:17" s="457" customFormat="1">
      <c r="A27" s="455" t="s">
        <v>570</v>
      </c>
      <c r="B27" s="755">
        <f t="shared" ca="1" si="2"/>
        <v>1.8219511935894719</v>
      </c>
      <c r="C27" s="456">
        <f t="shared" ca="1" si="3"/>
        <v>0</v>
      </c>
      <c r="D27" s="456">
        <f t="shared" si="4"/>
        <v>4.087677499224653</v>
      </c>
      <c r="E27" s="456">
        <f t="shared" si="5"/>
        <v>43.440811685184229</v>
      </c>
      <c r="F27" s="456">
        <f t="shared" si="6"/>
        <v>0</v>
      </c>
      <c r="G27" s="456">
        <f t="shared" si="7"/>
        <v>17568.456495529041</v>
      </c>
      <c r="H27" s="456">
        <f t="shared" si="8"/>
        <v>3039.0394567723315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20656.84639267937</v>
      </c>
    </row>
    <row r="28" spans="1:17">
      <c r="A28" s="451" t="s">
        <v>560</v>
      </c>
      <c r="B28" s="452">
        <f t="shared" ca="1" si="2"/>
        <v>0</v>
      </c>
      <c r="C28" s="452">
        <f t="shared" ca="1" si="3"/>
        <v>0</v>
      </c>
      <c r="D28" s="452">
        <f t="shared" si="4"/>
        <v>0</v>
      </c>
      <c r="E28" s="452">
        <f t="shared" si="5"/>
        <v>0</v>
      </c>
      <c r="F28" s="452">
        <f t="shared" si="6"/>
        <v>0</v>
      </c>
      <c r="G28" s="452">
        <f t="shared" si="7"/>
        <v>963.13912570491243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963.13912570491243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220.20934897701042</v>
      </c>
      <c r="C32" s="452">
        <f t="shared" ca="1" si="3"/>
        <v>0</v>
      </c>
      <c r="D32" s="452">
        <f t="shared" si="4"/>
        <v>159.90804800000001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380.11739697701046</v>
      </c>
    </row>
    <row r="33" spans="1:17" s="461" customFormat="1">
      <c r="A33" s="1017" t="s">
        <v>564</v>
      </c>
      <c r="B33" s="957">
        <f ca="1">SUM(B22:B32)</f>
        <v>8561.6270856552219</v>
      </c>
      <c r="C33" s="957">
        <f t="shared" ref="C33:Q33" ca="1" si="18">SUM(C22:C32)</f>
        <v>0</v>
      </c>
      <c r="D33" s="957">
        <f t="shared" ca="1" si="18"/>
        <v>7978.0946774552267</v>
      </c>
      <c r="E33" s="957">
        <f t="shared" si="18"/>
        <v>3212.8153502222012</v>
      </c>
      <c r="F33" s="957">
        <f t="shared" ca="1" si="18"/>
        <v>15524.901037065036</v>
      </c>
      <c r="G33" s="957">
        <f t="shared" si="18"/>
        <v>18531.595621233952</v>
      </c>
      <c r="H33" s="957">
        <f t="shared" si="18"/>
        <v>3039.0394567723315</v>
      </c>
      <c r="I33" s="957">
        <f t="shared" si="18"/>
        <v>0</v>
      </c>
      <c r="J33" s="957">
        <f t="shared" si="18"/>
        <v>40.74145109324526</v>
      </c>
      <c r="K33" s="957">
        <f t="shared" si="18"/>
        <v>0</v>
      </c>
      <c r="L33" s="957">
        <f t="shared" ca="1" si="18"/>
        <v>0</v>
      </c>
      <c r="M33" s="957">
        <f t="shared" si="18"/>
        <v>0</v>
      </c>
      <c r="N33" s="957">
        <f t="shared" ca="1" si="18"/>
        <v>0</v>
      </c>
      <c r="O33" s="957">
        <f t="shared" si="18"/>
        <v>0</v>
      </c>
      <c r="P33" s="957">
        <f t="shared" si="18"/>
        <v>0</v>
      </c>
      <c r="Q33" s="957">
        <f t="shared" ca="1" si="18"/>
        <v>56888.81467949722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4963.9488351341233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814.5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2327.1428571428573</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5778.4488351341233</v>
      </c>
      <c r="C10" s="1038">
        <f>SUM(C4:C9)</f>
        <v>0</v>
      </c>
      <c r="D10" s="1038">
        <f t="shared" ref="D10:H10" si="0">SUM(D8:D9)</f>
        <v>0</v>
      </c>
      <c r="E10" s="1038">
        <f t="shared" si="0"/>
        <v>0</v>
      </c>
      <c r="F10" s="1038">
        <f t="shared" si="0"/>
        <v>0</v>
      </c>
      <c r="G10" s="1038">
        <f t="shared" si="0"/>
        <v>0</v>
      </c>
      <c r="H10" s="1038">
        <f t="shared" si="0"/>
        <v>0</v>
      </c>
      <c r="I10" s="1038">
        <f>SUM(I8:I9)</f>
        <v>0</v>
      </c>
      <c r="J10" s="1038">
        <f>SUM(J8:J9)</f>
        <v>2327.1428571428573</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0.19231468138601335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0.19231468138601335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2020-06-20T16:06:00Z</dcterms:modified>
</cp:coreProperties>
</file>