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J15" i="16"/>
  <c r="B7" i="48"/>
  <c r="C24" i="14"/>
  <c r="C26" i="14" s="1"/>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E7" i="48"/>
  <c r="E25" i="48" s="1"/>
  <c r="F24" i="14"/>
  <c r="F26" i="14"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J8" i="48"/>
  <c r="K13" i="14"/>
  <c r="K16" i="14" s="1"/>
  <c r="K27" i="14" s="1"/>
  <c r="N63" i="14"/>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<sst xmlns="http://schemas.openxmlformats.org/spreadsheetml/2006/main" count="2452" uniqueCount="926">
  <si>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</si>
  <si>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</si>
  <si>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</si>
  <si>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</si>
  <si>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</si>
  <si>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</si>
  <si>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</si>
  <si>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</si>
  <si>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</si>
  <si>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</si>
  <si>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</si>
  <si>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</si>
  <si>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</si>
  <si>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</si>
  <si>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</si>
  <si>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</si>
  <si>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</si>
  <si>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</si>
  <si>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</si>
  <si>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</si>
  <si>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</si>
  <si>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</si>
  <si>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</si>
  <si>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</si>
  <si>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</si>
  <si>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</si>
  <si>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</si>
  <si>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</si>
  <si>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</si>
  <si>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</si>
  <si>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</si>
  <si>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</si>
  <si>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</si>
  <si>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</si>
  <si>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</si>
  <si>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</si>
  <si>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</si>
  <si>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</si>
  <si>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</si>
  <si>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</si>
  <si>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</si>
  <si>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</si>
  <si>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</si>
  <si>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</si>
  <si>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</si>
  <si>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</si>
  <si>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</si>
  <si>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</si>
  <si>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</si>
  <si>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</si>
  <si>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</si>
  <si>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</si>
  <si>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</si>
  <si>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</si>
  <si>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</si>
  <si>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</si>
  <si>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</si>
  <si>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</si>
  <si>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</si>
  <si>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</si>
  <si>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</si>
  <si>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</si>
  <si>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</si>
  <si>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</si>
  <si>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</si>
  <si>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</si>
  <si>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</si>
  <si>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</si>
  <si>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</si>
  <si>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</si>
  <si>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</si>
  <si>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</si>
  <si>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</si>
  <si>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</si>
  <si>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</si>
  <si>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</si>
  <si>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</si>
  <si>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</si>
  <si>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</si>
  <si>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</si>
  <si>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</si>
  <si>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</si>
  <si>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</si>
  <si>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</si>
  <si>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</si>
  <si>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</si>
  <si>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</si>
  <si>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</si>
  <si>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</si>
  <si>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</si>
  <si>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</si>
  <si>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</si>
  <si>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</si>
  <si>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</si>
  <si>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</si>
  <si>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</si>
  <si>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</si>
  <si>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</si>
  <si>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</si>
  <si>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</si>
  <si>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</si>
  <si>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</si>
  <si>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</si>
  <si>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</si>
  <si>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</si>
  <si>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</si>
  <si>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</si>
  <si>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</si>
  <si>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</si>
  <si>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</si>
  <si>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</si>
  <si>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</si>
  <si>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</si>
  <si>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</si>
  <si>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</si>
  <si>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</si>
  <si>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</si>
  <si>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</si>
  <si>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</si>
  <si>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</si>
  <si>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</si>
  <si>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</si>
  <si>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</si>
  <si>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</si>
  <si>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</si>
  <si>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</si>
  <si>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</si>
  <si>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</si>
  <si>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</si>
  <si>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</si>
  <si>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</si>
  <si>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</si>
  <si>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</si>
  <si>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</si>
  <si>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</si>
  <si>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</si>
  <si>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</si>
  <si>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</si>
  <si>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</si>
  <si>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</si>
  <si>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</si>
  <si>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</si>
  <si>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</si>
  <si>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</si>
  <si>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</si>
  <si>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</si>
  <si>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</si>
  <si>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</si>
  <si>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</si>
  <si>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</si>
  <si>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</si>
  <si>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</si>
  <si>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</si>
  <si>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</si>
  <si>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</si>
  <si>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</si>
  <si>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</si>
  <si>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</si>
  <si>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</si>
  <si>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</si>
  <si>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</si>
  <si>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</si>
  <si>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</si>
  <si>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</si>
  <si>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</si>
  <si>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</si>
  <si>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</si>
  <si>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</si>
  <si>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</si>
  <si>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</si>
  <si>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</si>
  <si>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</si>
  <si>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</si>
  <si>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</si>
  <si>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</si>
  <si>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</si>
  <si>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</si>
  <si>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</si>
  <si>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</si>
  <si>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</si>
  <si>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</si>
  <si>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</si>
  <si>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</si>
  <si>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</si>
  <si>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</si>
  <si>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</si>
  <si>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</si>
  <si>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</si>
  <si>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</si>
  <si>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</si>
  <si>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</si>
  <si>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</si>
  <si>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</si>
  <si>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</si>
  <si>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</si>
  <si>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</si>
  <si>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</si>
  <si>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</si>
  <si>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</si>
  <si>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</si>
  <si>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</si>
  <si>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</si>
  <si>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</si>
  <si>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</si>
  <si>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</si>
  <si>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</si>
  <si>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</si>
  <si>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</si>
  <si>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</si>
  <si>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</si>
  <si>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</si>
  <si>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</si>
  <si>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</si>
  <si>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</si>
  <si>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</si>
  <si>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</si>
  <si>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</si>
  <si>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</si>
  <si>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</si>
  <si>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</si>
  <si>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</si>
  <si>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</si>
  <si>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</si>
  <si>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</si>
  <si>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</si>
  <si>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</si>
  <si>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</si>
  <si>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</si>
  <si>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</si>
  <si>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</si>
  <si>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</si>
  <si>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</si>
  <si>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</si>
  <si>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</si>
  <si>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</si>
  <si>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</si>
  <si>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</si>
  <si>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</si>
  <si>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</si>
  <si>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</si>
  <si>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</si>
  <si>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</si>
  <si>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</si>
  <si>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</si>
  <si>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</si>
  <si>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</si>
  <si>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</si>
  <si>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</si>
  <si>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</si>
  <si>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</si>
  <si>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</si>
  <si>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</si>
  <si>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</si>
  <si>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</si>
  <si>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</si>
  <si>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</si>
  <si>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</si>
  <si>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</si>
  <si>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</si>
  <si>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</si>
  <si>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</si>
  <si>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</si>
  <si>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</si>
  <si>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</si>
  <si>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</si>
  <si>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</si>
  <si>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</si>
  <si>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</si>
  <si>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</si>
  <si>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</si>
  <si>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</si>
  <si>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</si>
  <si>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</si>
  <si>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</si>
  <si>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</si>
  <si>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</si>
  <si>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</si>
  <si>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</si>
  <si>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</si>
  <si>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</si>
  <si>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</si>
  <si>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</si>
  <si>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</si>
  <si>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</si>
  <si>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</si>
  <si>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</si>
  <si>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</si>
  <si>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</si>
  <si>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</si>
  <si>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</si>
  <si>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</si>
  <si>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</si>
  <si>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</si>
  <si>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</si>
  <si>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</si>
  <si>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</si>
  <si>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</si>
  <si>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</si>
  <si>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</si>
  <si>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</si>
  <si>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</si>
  <si>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</si>
  <si>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</si>
  <si>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</si>
  <si>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</si>
  <si>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</si>
  <si>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</si>
  <si>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</si>
  <si>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</si>
  <si>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</si>
  <si>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</si>
  <si>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</si>
  <si>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</si>
  <si>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</si>
  <si>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</si>
  <si>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</si>
  <si>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</si>
  <si>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</si>
  <si>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</si>
  <si>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</si>
  <si>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</si>
  <si>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</si>
  <si>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</si>
  <si>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</si>
  <si>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</si>
  <si>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</si>
  <si>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</si>
  <si>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</si>
  <si>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</si>
  <si>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</si>
  <si>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</si>
  <si>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</si>
  <si>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</si>
  <si>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</si>
  <si>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</si>
  <si>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</si>
  <si>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</si>
  <si>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</si>
  <si>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</si>
  <si>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</si>
  <si>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</si>
  <si>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</si>
  <si>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</si>
  <si>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</si>
  <si>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</si>
  <si>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</si>
  <si>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</si>
  <si>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</si>
  <si>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</si>
  <si>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</si>
  <si>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</si>
  <si>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</si>
  <si>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</si>
  <si>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</si>
  <si>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</si>
  <si>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</si>
  <si>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</si>
  <si>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</si>
  <si>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</si>
  <si>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</si>
  <si>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</si>
  <si>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</si>
  <si>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</si>
  <si>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</si>
  <si>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</si>
  <si>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</si>
  <si>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</si>
  <si>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</si>
  <si>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</si>
  <si>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</si>
  <si>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</si>
  <si>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</si>
  <si>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</si>
  <si>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</si>
  <si>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</si>
  <si>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</si>
  <si>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</si>
  <si>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</si>
  <si>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</si>
  <si>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</si>
  <si>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</si>
  <si>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</si>
  <si>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</si>
  <si>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</si>
  <si>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</si>
  <si>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</si>
  <si>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</si>
  <si>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</si>
  <si>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</si>
  <si>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</si>
  <si>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</si>
  <si>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</si>
  <si>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</si>
  <si>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</si>
  <si>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</si>
  <si>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</si>
  <si>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</si>
  <si>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</si>
  <si>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</si>
  <si>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</si>
  <si>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</si>
  <si>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</si>
  <si>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</si>
  <si>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</si>
  <si>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</si>
  <si>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</si>
  <si>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</si>
  <si>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</si>
  <si>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</si>
  <si>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</si>
  <si>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</si>
  <si>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</si>
  <si>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</si>
  <si>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</si>
  <si>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</si>
  <si>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</si>
  <si>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</si>
  <si>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</si>
  <si>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</si>
  <si>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</si>
  <si>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</si>
  <si>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</si>
  <si>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</si>
  <si>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</si>
  <si>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</si>
  <si>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</si>
  <si>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</si>
  <si>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</si>
  <si>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</si>
  <si>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</si>
  <si>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</si>
  <si>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</si>
  <si>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</si>
  <si>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</si>
  <si>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</si>
  <si>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</si>
  <si>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</si>
  <si>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</si>
  <si>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</si>
  <si>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</si>
  <si>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</si>
  <si>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</si>
  <si>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</si>
  <si>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</si>
  <si>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</si>
  <si>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</si>
  <si>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</si>
  <si>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</si>
  <si>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</si>
  <si>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</si>
  <si>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</si>
  <si>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</si>
  <si>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</si>
  <si>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</si>
  <si>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</si>
  <si>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</si>
  <si>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</si>
  <si>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</si>
  <si>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</si>
  <si>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</si>
  <si>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</si>
  <si>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</si>
  <si>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</si>
  <si>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</si>
  <si>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</si>
  <si>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</si>
  <si>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</si>
  <si>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</si>
  <si>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</si>
  <si>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</si>
  <si>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</si>
  <si>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</si>
  <si>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</si>
  <si>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</si>
  <si>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</si>
  <si>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</si>
  <si>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</si>
  <si>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</si>
  <si>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</si>
  <si>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</si>
  <si>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</si>
  <si>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</si>
  <si>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</si>
  <si>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</si>
  <si>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</si>
  <si>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</si>
  <si>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</si>
  <si>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</si>
  <si>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</si>
  <si>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</si>
  <si>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</si>
  <si>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</si>
  <si>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</si>
  <si>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</si>
  <si>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</si>
  <si>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</si>
  <si>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</si>
  <si>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</si>
  <si>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</si>
  <si>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</si>
  <si>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</si>
  <si>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</si>
  <si>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</si>
  <si>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</si>
  <si>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</si>
  <si>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</si>
  <si>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</si>
  <si>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</si>
  <si>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</si>
  <si>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</si>
  <si>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</si>
  <si>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</si>
  <si>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</si>
  <si>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</si>
  <si>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</si>
  <si>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</si>
  <si>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</si>
  <si>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</si>
  <si>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</si>
  <si>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</si>
  <si>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</si>
  <si>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</si>
  <si>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</si>
  <si>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</si>
  <si>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</si>
  <si>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</si>
  <si>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</si>
  <si>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</si>
  <si>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</si>
  <si>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</si>
  <si>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</si>
  <si>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</si>
  <si>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</si>
  <si>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</si>
  <si>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</si>
  <si>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</si>
  <si>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</si>
  <si>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</si>
  <si>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</si>
  <si>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</si>
  <si>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</si>
  <si>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</si>
  <si>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</si>
  <si>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</si>
  <si>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</si>
  <si>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</si>
  <si>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</si>
  <si>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</si>
  <si>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</si>
  <si>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</si>
  <si>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</si>
  <si>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</si>
  <si>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</si>
  <si>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</si>
  <si>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</si>
  <si>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</si>
  <si>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</si>
  <si>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</si>
  <si>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</si>
  <si>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</si>
  <si>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</si>
  <si>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</si>
  <si>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</si>
  <si>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</si>
  <si>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</si>
  <si>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</si>
  <si>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</si>
  <si>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</si>
  <si>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</si>
  <si>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</si>
  <si>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</si>
  <si>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</si>
  <si>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</si>
  <si>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</si>
  <si>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</si>
  <si>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</si>
  <si>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</si>
  <si>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</si>
  <si>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</si>
  <si>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</si>
  <si>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</si>
  <si>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</si>
  <si>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</si>
  <si>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</si>
  <si>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</si>
  <si>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</si>
  <si>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</si>
  <si>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</si>
  <si>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</si>
  <si>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</si>
  <si>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</si>
  <si>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</si>
  <si>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</si>
  <si>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</si>
  <si>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</si>
  <si>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</si>
  <si>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</si>
  <si>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</si>
  <si>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</si>
  <si>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</si>
  <si>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</si>
  <si>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</si>
  <si>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</si>
  <si>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</si>
  <si>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</si>
  <si>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</si>
  <si>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</si>
  <si>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</si>
  <si>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</si>
  <si>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</si>
  <si>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</si>
  <si>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</si>
  <si>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</si>
  <si>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</si>
  <si>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</si>
  <si>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</si>
  <si>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</si>
  <si>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</si>
  <si>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</si>
  <si>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</si>
  <si>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</si>
  <si>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</si>
  <si>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</si>
  <si>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</si>
  <si>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</si>
  <si>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</si>
  <si>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</si>
  <si>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</si>
  <si>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</si>
  <si>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</si>
  <si>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</si>
  <si>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</si>
  <si>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</si>
  <si>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</si>
  <si>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</si>
  <si>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</si>
  <si>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</si>
  <si>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</si>
  <si>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</si>
  <si>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</si>
  <si>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</si>
  <si>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</si>
  <si>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</si>
  <si>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</si>
  <si>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</si>
  <si>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</si>
  <si>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</si>
  <si>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</si>
  <si>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</si>
  <si>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</si>
  <si>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</si>
  <si>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</si>
  <si>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</si>
  <si>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</si>
  <si>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</si>
  <si>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</si>
  <si>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</si>
  <si>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</si>
  <si>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</si>
  <si>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</si>
  <si>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</si>
  <si>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</si>
  <si>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</si>
  <si>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</si>
  <si>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</si>
  <si>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</si>
  <si>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</si>
  <si>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</si>
  <si>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</si>
  <si>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</si>
  <si>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</si>
  <si>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</si>
  <si>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</si>
  <si>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</si>
  <si>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</si>
  <si>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</si>
  <si>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</si>
  <si>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</si>
  <si>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</si>
  <si>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</si>
  <si>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</si>
  <si>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</si>
  <si>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</si>
  <si>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</si>
  <si>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</si>
  <si>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</si>
  <si>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</si>
  <si>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</si>
  <si>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</si>
  <si>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</si>
  <si>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</si>
  <si>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</si>
  <si>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</si>
  <si>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</si>
  <si>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</si>
  <si>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</si>
  <si>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</si>
  <si>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</si>
  <si>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</si>
  <si>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</si>
  <si>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</si>
  <si>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</si>
  <si>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</si>
  <si>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</si>
  <si>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</si>
  <si>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</si>
  <si>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</si>
  <si>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</si>
  <si>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</si>
  <si>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</si>
  <si>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</si>
  <si>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</si>
  <si>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</si>
  <si>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</si>
  <si>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</si>
  <si>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</si>
  <si>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</si>
  <si>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</si>
  <si>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</si>
  <si>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</si>
  <si>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</si>
  <si>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</si>
  <si>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</si>
  <si>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</si>
  <si>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</si>
  <si>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</si>
  <si>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</si>
  <si>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</si>
  <si>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</si>
  <si>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</si>
  <si>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</si>
  <si>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</si>
  <si>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</si>
  <si>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</si>
  <si>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</si>
  <si>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</si>
  <si>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</si>
  <si>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</si>
  <si>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</si>
  <si>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</si>
  <si>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</si>
  <si>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</si>
  <si>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</si>
  <si>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</si>
  <si>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</si>
  <si>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</si>
  <si>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</si>
  <si>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</si>
  <si>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</si>
  <si>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</si>
  <si>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</si>
  <si>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</si>
  <si>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</si>
  <si>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</si>
  <si>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</si>
  <si>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</si>
  <si>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</si>
  <si>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</si>
  <si>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</si>
  <si>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</si>
  <si>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</si>
  <si>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</si>
  <si>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</si>
  <si>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</si>
  <si>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</si>
  <si>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</si>
  <si>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</si>
  <si>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</si>
  <si>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</si>
  <si>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</si>
  <si>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</si>
  <si>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</si>
  <si>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</si>
  <si>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</si>
  <si>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</si>
  <si>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</si>
  <si>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</si>
  <si>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</si>
  <si>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</si>
  <si>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</si>
  <si>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</si>
  <si>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</si>
  <si>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</si>
  <si>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</si>
  <si>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</si>
  <si>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</si>
  <si>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</si>
  <si>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</si>
  <si>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</si>
  <si>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</si>
  <si>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</si>
  <si>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</si>
  <si>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</si>
  <si>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</si>
  <si>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</si>
  <si>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</si>
  <si>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</si>
  <si>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</si>
  <si>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</si>
  <si>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</si>
  <si>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</si>
  <si>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</si>
  <si>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</si>
  <si>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</si>
  <si>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</si>
  <si>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</si>
  <si>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</si>
  <si>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</si>
  <si>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</si>
  <si>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</si>
  <si>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</si>
  <si>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</si>
  <si>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</si>
  <si>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</si>
  <si>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</si>
  <si>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</si>
  <si>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</si>
  <si>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</si>
  <si>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</si>
  <si>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</si>
  <si>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</si>
  <si>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</si>
  <si>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</si>
  <si>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</si>
  <si>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</si>
  <si>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</si>
  <si>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</si>
  <si>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</si>
  <si>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</si>
  <si>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</si>
  <si>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</si>
  <si>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</si>
  <si>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</si>
  <si>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</si>
  <si>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</si>
  <si>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</si>
  <si>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</si>
  <si>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</si>
  <si>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</si>
  <si>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</si>
  <si>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</si>
  <si>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</si>
  <si>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</si>
  <si>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</si>
  <si>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</si>
  <si>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</si>
  <si>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</si>
  <si>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</si>
  <si>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</si>
  <si>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</si>
  <si>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</si>
  <si>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</si>
  <si>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</si>
  <si>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</si>
  <si>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</si>
  <si>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</si>
  <si>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</si>
  <si>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</si>
  <si>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</si>
  <si>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</si>
  <si>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</si>
  <si>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</si>
  <si>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</si>
  <si>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</si>
  <si>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</si>
  <si>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</si>
  <si>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</si>
  <si>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</si>
  <si>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</si>
  <si>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</si>
  <si>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</si>
  <si>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</si>
  <si>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</si>
  <si>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</si>
  <si>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</si>
  <si>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</si>
  <si>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</si>
  <si>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</si>
  <si>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</si>
  <si>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</si>
  <si>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</si>
  <si>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</si>
  <si>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</si>
  <si>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</si>
  <si>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</si>
  <si>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</si>
  <si>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</si>
  <si>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</si>
  <si>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</si>
  <si>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</si>
  <si>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</si>
  <si>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</si>
  <si>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</si>
  <si>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</si>
  <si>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</si>
  <si>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</si>
  <si>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</si>
  <si>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</si>
  <si>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</si>
  <si>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</si>
  <si>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</si>
  <si>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</si>
  <si>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</si>
  <si>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</si>
  <si>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</si>
  <si>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</si>
  <si>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</si>
  <si>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24045</t>
  </si>
  <si>
    <t>HULDENBERG</t>
  </si>
  <si>
    <t>Paarden&amp;pony's 200 - 600 kg</t>
  </si>
  <si>
    <t>Paarden&amp;pony's &lt; 200 kg</t>
  </si>
  <si>
    <t>Fluvius</t>
  </si>
  <si>
    <t>referentietaak LNE (2017); Jaarverslag De Lijn</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</si>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</sst>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96779.289480491221</c:v>
                </c:pt>
                <c:pt idx="1">
                  <c:v>22649.307508719794</c:v>
                </c:pt>
                <c:pt idx="2">
                  <c:v>707.11300000000006</c:v>
                </c:pt>
                <c:pt idx="3">
                  <c:v>1674.0813291638342</c:v>
                </c:pt>
                <c:pt idx="4">
                  <c:v>2962.0086993147888</c:v>
                </c:pt>
                <c:pt idx="5">
                  <c:v>60372.638622714199</c:v>
                </c:pt>
                <c:pt idx="6">
                  <c:v>2468.9894416768238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96779.289480491221</c:v>
                </c:pt>
                <c:pt idx="1">
                  <c:v>22649.307508719794</c:v>
                </c:pt>
                <c:pt idx="2">
                  <c:v>707.11300000000006</c:v>
                </c:pt>
                <c:pt idx="3">
                  <c:v>1674.0813291638342</c:v>
                </c:pt>
                <c:pt idx="4">
                  <c:v>2962.0086993147888</c:v>
                </c:pt>
                <c:pt idx="5">
                  <c:v>60372.638622714199</c:v>
                </c:pt>
                <c:pt idx="6">
                  <c:v>2468.9894416768238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19978.234335975456</c:v>
                </c:pt>
                <c:pt idx="2">
                  <c:v>4324.6792720093599</c:v>
                </c:pt>
                <c:pt idx="3">
                  <c:v>125.61101007299666</c:v>
                </c:pt>
                <c:pt idx="4">
                  <c:v>409.4913897932318</c:v>
                </c:pt>
                <c:pt idx="5">
                  <c:v>598.31973023421233</c:v>
                </c:pt>
                <c:pt idx="6">
                  <c:v>15107.115979589651</c:v>
                </c:pt>
                <c:pt idx="7">
                  <c:v>623.57834094936243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19978.234335975456</c:v>
                </c:pt>
                <c:pt idx="2">
                  <c:v>4324.6792720093599</c:v>
                </c:pt>
                <c:pt idx="3">
                  <c:v>125.61101007299666</c:v>
                </c:pt>
                <c:pt idx="4">
                  <c:v>409.4913897932318</c:v>
                </c:pt>
                <c:pt idx="5">
                  <c:v>598.31973023421233</c:v>
                </c:pt>
                <c:pt idx="6">
                  <c:v>15107.115979589651</c:v>
                </c:pt>
                <c:pt idx="7">
                  <c:v>623.57834094936243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24045</v>
      </c>
      <c r="B6" s="391"/>
      <c r="C6" s="392"/>
    </row>
    <row r="7" spans="1:7" s="389" customFormat="1" ht="15.75" customHeight="1">
      <c r="A7" s="393" t="str">
        <f>txtMunicipality</f>
        <v>HULDENBERG</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0.17763923173947679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0.17763923173947679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3755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1859</v>
      </c>
      <c r="C14" s="330"/>
      <c r="D14" s="330"/>
      <c r="E14" s="330"/>
      <c r="F14" s="330"/>
    </row>
    <row r="15" spans="1:6">
      <c r="A15" s="1305" t="s">
        <v>183</v>
      </c>
      <c r="B15" s="1306">
        <v>5</v>
      </c>
      <c r="C15" s="330"/>
      <c r="D15" s="330"/>
      <c r="E15" s="330"/>
      <c r="F15" s="330"/>
    </row>
    <row r="16" spans="1:6">
      <c r="A16" s="1305" t="s">
        <v>6</v>
      </c>
      <c r="B16" s="1306">
        <v>364</v>
      </c>
      <c r="C16" s="330"/>
      <c r="D16" s="330"/>
      <c r="E16" s="330"/>
      <c r="F16" s="330"/>
    </row>
    <row r="17" spans="1:6">
      <c r="A17" s="1305" t="s">
        <v>7</v>
      </c>
      <c r="B17" s="1306">
        <v>414</v>
      </c>
      <c r="C17" s="330"/>
      <c r="D17" s="330"/>
      <c r="E17" s="330"/>
      <c r="F17" s="330"/>
    </row>
    <row r="18" spans="1:6">
      <c r="A18" s="1305" t="s">
        <v>8</v>
      </c>
      <c r="B18" s="1306">
        <v>578</v>
      </c>
      <c r="C18" s="330"/>
      <c r="D18" s="330"/>
      <c r="E18" s="330"/>
      <c r="F18" s="330"/>
    </row>
    <row r="19" spans="1:6">
      <c r="A19" s="1305" t="s">
        <v>9</v>
      </c>
      <c r="B19" s="1306">
        <v>524</v>
      </c>
      <c r="C19" s="330"/>
      <c r="D19" s="330"/>
      <c r="E19" s="330"/>
      <c r="F19" s="330"/>
    </row>
    <row r="20" spans="1:6">
      <c r="A20" s="1305" t="s">
        <v>10</v>
      </c>
      <c r="B20" s="1306">
        <v>462</v>
      </c>
      <c r="C20" s="330"/>
      <c r="D20" s="330"/>
      <c r="E20" s="330"/>
      <c r="F20" s="330"/>
    </row>
    <row r="21" spans="1:6">
      <c r="A21" s="1305" t="s">
        <v>11</v>
      </c>
      <c r="B21" s="1306">
        <v>0</v>
      </c>
      <c r="C21" s="330"/>
      <c r="D21" s="330"/>
      <c r="E21" s="330"/>
      <c r="F21" s="330"/>
    </row>
    <row r="22" spans="1:6">
      <c r="A22" s="1305" t="s">
        <v>12</v>
      </c>
      <c r="B22" s="1306">
        <v>786</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265</v>
      </c>
      <c r="C26" s="330"/>
      <c r="D26" s="330"/>
      <c r="E26" s="330"/>
      <c r="F26" s="330"/>
    </row>
    <row r="27" spans="1:6">
      <c r="A27" s="1305" t="s">
        <v>17</v>
      </c>
      <c r="B27" s="1306">
        <v>1</v>
      </c>
      <c r="C27" s="330"/>
      <c r="D27" s="330"/>
      <c r="E27" s="330"/>
      <c r="F27" s="330"/>
    </row>
    <row r="28" spans="1:6" s="43" customFormat="1">
      <c r="A28" s="1307" t="s">
        <v>18</v>
      </c>
      <c r="B28" s="1308">
        <v>22</v>
      </c>
      <c r="C28" s="336"/>
      <c r="D28" s="336"/>
      <c r="E28" s="336"/>
      <c r="F28" s="336"/>
    </row>
    <row r="29" spans="1:6">
      <c r="A29" s="1307" t="s">
        <v>909</v>
      </c>
      <c r="B29" s="1308">
        <v>66</v>
      </c>
      <c r="C29" s="336"/>
      <c r="D29" s="336"/>
      <c r="E29" s="336"/>
      <c r="F29" s="336"/>
    </row>
    <row r="30" spans="1:6">
      <c r="A30" s="1300" t="s">
        <v>910</v>
      </c>
      <c r="B30" s="1309">
        <v>17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7</v>
      </c>
      <c r="F36" s="1306">
        <v>10509.61</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0</v>
      </c>
    </row>
    <row r="39" spans="1:6">
      <c r="A39" s="1305" t="s">
        <v>29</v>
      </c>
      <c r="B39" s="1305" t="s">
        <v>30</v>
      </c>
      <c r="C39" s="1306">
        <v>1445</v>
      </c>
      <c r="D39" s="1306">
        <v>26067706.536769699</v>
      </c>
      <c r="E39" s="1306">
        <v>3591</v>
      </c>
      <c r="F39" s="1306">
        <v>16412965</v>
      </c>
    </row>
    <row r="40" spans="1:6">
      <c r="A40" s="1305" t="s">
        <v>29</v>
      </c>
      <c r="B40" s="1305" t="s">
        <v>28</v>
      </c>
      <c r="C40" s="1306">
        <v>0</v>
      </c>
      <c r="D40" s="1306">
        <v>0</v>
      </c>
      <c r="E40" s="1306">
        <v>0</v>
      </c>
      <c r="F40" s="1306">
        <v>0</v>
      </c>
    </row>
    <row r="41" spans="1:6">
      <c r="A41" s="1305" t="s">
        <v>31</v>
      </c>
      <c r="B41" s="1305" t="s">
        <v>32</v>
      </c>
      <c r="C41" s="1306">
        <v>3</v>
      </c>
      <c r="D41" s="1306">
        <v>90693.305265250805</v>
      </c>
      <c r="E41" s="1306">
        <v>59</v>
      </c>
      <c r="F41" s="1306">
        <v>533425.6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21556.45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13</v>
      </c>
      <c r="D48" s="1306">
        <v>278556.60724227101</v>
      </c>
      <c r="E48" s="1306">
        <v>22</v>
      </c>
      <c r="F48" s="1306">
        <v>453265.5</v>
      </c>
    </row>
    <row r="49" spans="1:6">
      <c r="A49" s="1305" t="s">
        <v>31</v>
      </c>
      <c r="B49" s="1305" t="s">
        <v>39</v>
      </c>
      <c r="C49" s="1306">
        <v>0</v>
      </c>
      <c r="D49" s="1306">
        <v>0</v>
      </c>
      <c r="E49" s="1306">
        <v>0</v>
      </c>
      <c r="F49" s="1306">
        <v>0</v>
      </c>
    </row>
    <row r="50" spans="1:6">
      <c r="A50" s="1305" t="s">
        <v>31</v>
      </c>
      <c r="B50" s="1305" t="s">
        <v>40</v>
      </c>
      <c r="C50" s="1306">
        <v>3</v>
      </c>
      <c r="D50" s="1306">
        <v>303180.768374415</v>
      </c>
      <c r="E50" s="1306">
        <v>5</v>
      </c>
      <c r="F50" s="1306">
        <v>167045.6</v>
      </c>
    </row>
    <row r="51" spans="1:6">
      <c r="A51" s="1305" t="s">
        <v>41</v>
      </c>
      <c r="B51" s="1305" t="s">
        <v>42</v>
      </c>
      <c r="C51" s="1306">
        <v>4</v>
      </c>
      <c r="D51" s="1306">
        <v>58994.582902790098</v>
      </c>
      <c r="E51" s="1306">
        <v>49</v>
      </c>
      <c r="F51" s="1306">
        <v>427050.8</v>
      </c>
    </row>
    <row r="52" spans="1:6">
      <c r="A52" s="1305" t="s">
        <v>41</v>
      </c>
      <c r="B52" s="1305" t="s">
        <v>28</v>
      </c>
      <c r="C52" s="1306">
        <v>1</v>
      </c>
      <c r="D52" s="1306">
        <v>14037.655662654901</v>
      </c>
      <c r="E52" s="1306">
        <v>2</v>
      </c>
      <c r="F52" s="1306">
        <v>7627.2539999999999</v>
      </c>
    </row>
    <row r="53" spans="1:6">
      <c r="A53" s="1305" t="s">
        <v>43</v>
      </c>
      <c r="B53" s="1305" t="s">
        <v>44</v>
      </c>
      <c r="C53" s="1306">
        <v>38</v>
      </c>
      <c r="D53" s="1306">
        <v>658395.83618146495</v>
      </c>
      <c r="E53" s="1306">
        <v>119</v>
      </c>
      <c r="F53" s="1306">
        <v>622258.9</v>
      </c>
    </row>
    <row r="54" spans="1:6">
      <c r="A54" s="1305" t="s">
        <v>45</v>
      </c>
      <c r="B54" s="1305" t="s">
        <v>46</v>
      </c>
      <c r="C54" s="1306">
        <v>0</v>
      </c>
      <c r="D54" s="1306">
        <v>0</v>
      </c>
      <c r="E54" s="1306">
        <v>1</v>
      </c>
      <c r="F54" s="1306">
        <v>707113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12</v>
      </c>
      <c r="D57" s="1306">
        <v>457775.49455980898</v>
      </c>
      <c r="E57" s="1306">
        <v>38</v>
      </c>
      <c r="F57" s="1306">
        <v>3332695</v>
      </c>
    </row>
    <row r="58" spans="1:6">
      <c r="A58" s="1305" t="s">
        <v>48</v>
      </c>
      <c r="B58" s="1305" t="s">
        <v>50</v>
      </c>
      <c r="C58" s="1306">
        <v>4</v>
      </c>
      <c r="D58" s="1306">
        <v>113412.18995966201</v>
      </c>
      <c r="E58" s="1306">
        <v>14</v>
      </c>
      <c r="F58" s="1306">
        <v>1019230</v>
      </c>
    </row>
    <row r="59" spans="1:6">
      <c r="A59" s="1305" t="s">
        <v>48</v>
      </c>
      <c r="B59" s="1305" t="s">
        <v>51</v>
      </c>
      <c r="C59" s="1306">
        <v>13</v>
      </c>
      <c r="D59" s="1306">
        <v>431926.27674810798</v>
      </c>
      <c r="E59" s="1306">
        <v>57</v>
      </c>
      <c r="F59" s="1306">
        <v>1462497</v>
      </c>
    </row>
    <row r="60" spans="1:6">
      <c r="A60" s="1305" t="s">
        <v>48</v>
      </c>
      <c r="B60" s="1305" t="s">
        <v>52</v>
      </c>
      <c r="C60" s="1306">
        <v>7</v>
      </c>
      <c r="D60" s="1306">
        <v>260436.28988153601</v>
      </c>
      <c r="E60" s="1306">
        <v>22</v>
      </c>
      <c r="F60" s="1306">
        <v>271666.8</v>
      </c>
    </row>
    <row r="61" spans="1:6">
      <c r="A61" s="1305" t="s">
        <v>48</v>
      </c>
      <c r="B61" s="1305" t="s">
        <v>53</v>
      </c>
      <c r="C61" s="1306">
        <v>66</v>
      </c>
      <c r="D61" s="1306">
        <v>3118447.2362291701</v>
      </c>
      <c r="E61" s="1306">
        <v>154</v>
      </c>
      <c r="F61" s="1306">
        <v>1495845</v>
      </c>
    </row>
    <row r="62" spans="1:6">
      <c r="A62" s="1305" t="s">
        <v>48</v>
      </c>
      <c r="B62" s="1305" t="s">
        <v>54</v>
      </c>
      <c r="C62" s="1306">
        <v>0</v>
      </c>
      <c r="D62" s="1306">
        <v>0</v>
      </c>
      <c r="E62" s="1306">
        <v>3</v>
      </c>
      <c r="F62" s="1306">
        <v>15215.2</v>
      </c>
    </row>
    <row r="63" spans="1:6">
      <c r="A63" s="1305" t="s">
        <v>48</v>
      </c>
      <c r="B63" s="1305" t="s">
        <v>28</v>
      </c>
      <c r="C63" s="1306">
        <v>64</v>
      </c>
      <c r="D63" s="1306">
        <v>3781210.1171327</v>
      </c>
      <c r="E63" s="1306">
        <v>77</v>
      </c>
      <c r="F63" s="1306">
        <v>1186425</v>
      </c>
    </row>
    <row r="64" spans="1:6">
      <c r="A64" s="1305" t="s">
        <v>55</v>
      </c>
      <c r="B64" s="1305" t="s">
        <v>56</v>
      </c>
      <c r="C64" s="1306">
        <v>0</v>
      </c>
      <c r="D64" s="1306">
        <v>0</v>
      </c>
      <c r="E64" s="1306">
        <v>0</v>
      </c>
      <c r="F64" s="1306">
        <v>0</v>
      </c>
    </row>
    <row r="65" spans="1:6">
      <c r="A65" s="1305" t="s">
        <v>55</v>
      </c>
      <c r="B65" s="1305" t="s">
        <v>28</v>
      </c>
      <c r="C65" s="1306">
        <v>1</v>
      </c>
      <c r="D65" s="1306">
        <v>34613.355262025398</v>
      </c>
      <c r="E65" s="1306">
        <v>2</v>
      </c>
      <c r="F65" s="1306">
        <v>137084.6</v>
      </c>
    </row>
    <row r="66" spans="1:6">
      <c r="A66" s="1305" t="s">
        <v>55</v>
      </c>
      <c r="B66" s="1305" t="s">
        <v>57</v>
      </c>
      <c r="C66" s="1306">
        <v>0</v>
      </c>
      <c r="D66" s="1306">
        <v>0</v>
      </c>
      <c r="E66" s="1306">
        <v>4</v>
      </c>
      <c r="F66" s="1306">
        <v>30779.4</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35730992</v>
      </c>
      <c r="E73" s="450"/>
      <c r="F73" s="330"/>
    </row>
    <row r="74" spans="1:6">
      <c r="A74" s="1305" t="s">
        <v>63</v>
      </c>
      <c r="B74" s="1305" t="s">
        <v>710</v>
      </c>
      <c r="C74" s="1319" t="s">
        <v>712</v>
      </c>
      <c r="D74" s="1320">
        <v>1458794.8305473237</v>
      </c>
      <c r="E74" s="450"/>
      <c r="F74" s="330"/>
    </row>
    <row r="75" spans="1:6">
      <c r="A75" s="1305" t="s">
        <v>64</v>
      </c>
      <c r="B75" s="1305" t="s">
        <v>709</v>
      </c>
      <c r="C75" s="1319" t="s">
        <v>713</v>
      </c>
      <c r="D75" s="1320">
        <v>34033416</v>
      </c>
      <c r="E75" s="450"/>
      <c r="F75" s="330"/>
    </row>
    <row r="76" spans="1:6">
      <c r="A76" s="1305" t="s">
        <v>64</v>
      </c>
      <c r="B76" s="1305" t="s">
        <v>710</v>
      </c>
      <c r="C76" s="1319" t="s">
        <v>714</v>
      </c>
      <c r="D76" s="1320">
        <v>870761.83054732368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662924.33890535252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1835.8796850018593</v>
      </c>
      <c r="C91" s="330"/>
      <c r="D91" s="330"/>
      <c r="E91" s="330"/>
      <c r="F91" s="330"/>
    </row>
    <row r="92" spans="1:6">
      <c r="A92" s="1300" t="s">
        <v>68</v>
      </c>
      <c r="B92" s="1301">
        <v>92.728072492526096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519</v>
      </c>
      <c r="C97" s="330"/>
      <c r="D97" s="330"/>
      <c r="E97" s="330"/>
      <c r="F97" s="330"/>
    </row>
    <row r="98" spans="1:6">
      <c r="A98" s="1305" t="s">
        <v>71</v>
      </c>
      <c r="B98" s="1306">
        <v>1</v>
      </c>
      <c r="C98" s="330"/>
      <c r="D98" s="330"/>
      <c r="E98" s="330"/>
      <c r="F98" s="330"/>
    </row>
    <row r="99" spans="1:6">
      <c r="A99" s="1305" t="s">
        <v>72</v>
      </c>
      <c r="B99" s="1306">
        <v>94</v>
      </c>
      <c r="C99" s="330"/>
      <c r="D99" s="330"/>
      <c r="E99" s="330"/>
      <c r="F99" s="330"/>
    </row>
    <row r="100" spans="1:6">
      <c r="A100" s="1305" t="s">
        <v>73</v>
      </c>
      <c r="B100" s="1306">
        <v>266</v>
      </c>
      <c r="C100" s="330"/>
      <c r="D100" s="330"/>
      <c r="E100" s="330"/>
      <c r="F100" s="330"/>
    </row>
    <row r="101" spans="1:6">
      <c r="A101" s="1305" t="s">
        <v>74</v>
      </c>
      <c r="B101" s="1306">
        <v>58</v>
      </c>
      <c r="C101" s="330"/>
      <c r="D101" s="330"/>
      <c r="E101" s="330"/>
      <c r="F101" s="330"/>
    </row>
    <row r="102" spans="1:6">
      <c r="A102" s="1305" t="s">
        <v>75</v>
      </c>
      <c r="B102" s="1306">
        <v>47</v>
      </c>
      <c r="C102" s="330"/>
      <c r="D102" s="330"/>
      <c r="E102" s="330"/>
      <c r="F102" s="330"/>
    </row>
    <row r="103" spans="1:6">
      <c r="A103" s="1305" t="s">
        <v>76</v>
      </c>
      <c r="B103" s="1306">
        <v>96</v>
      </c>
      <c r="C103" s="330"/>
      <c r="D103" s="330"/>
      <c r="E103" s="330"/>
      <c r="F103" s="330"/>
    </row>
    <row r="104" spans="1:6">
      <c r="A104" s="1305" t="s">
        <v>77</v>
      </c>
      <c r="B104" s="1306">
        <v>2219</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16</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81</v>
      </c>
      <c r="C129" s="330"/>
      <c r="D129" s="330"/>
      <c r="E129" s="330"/>
      <c r="F129" s="330"/>
    </row>
    <row r="130" spans="1:6">
      <c r="A130" s="1305" t="s">
        <v>294</v>
      </c>
      <c r="B130" s="1306">
        <v>3</v>
      </c>
      <c r="C130" s="330"/>
      <c r="D130" s="330"/>
      <c r="E130" s="330"/>
      <c r="F130" s="330"/>
    </row>
    <row r="131" spans="1:6">
      <c r="A131" s="1305" t="s">
        <v>295</v>
      </c>
      <c r="B131" s="1306">
        <v>0</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34898.155062993334</v>
      </c>
      <c r="C3" s="43" t="s">
        <v>169</v>
      </c>
      <c r="D3" s="43"/>
      <c r="E3" s="154"/>
      <c r="F3" s="43"/>
      <c r="G3" s="43"/>
      <c r="H3" s="43"/>
      <c r="I3" s="43"/>
      <c r="J3" s="43"/>
      <c r="K3" s="96"/>
    </row>
    <row r="4" spans="1:11">
      <c r="A4" s="359" t="s">
        <v>170</v>
      </c>
      <c r="B4" s="49">
        <f>IF(ISERROR('SEAP template'!B78+'SEAP template'!C78),0,'SEAP template'!B78+'SEAP template'!C78)</f>
        <v>6847.1077574943856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0.17763923173947679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60.75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707.11300000000006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707.11300000000006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0.17763923173947679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125.61101007299666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16412.965</v>
      </c>
      <c r="C5" s="17">
        <f>IF(ISERROR('Eigen informatie GS &amp; warmtenet'!B57),0,'Eigen informatie GS &amp; warmtenet'!B57)</f>
        <v>0</v>
      </c>
      <c r="D5" s="30">
        <f>(SUM(HH_hh_gas_kWh,HH_rest_gas_kWh)/1000)*0.902</f>
        <v>23513.071296166268</v>
      </c>
      <c r="E5" s="17">
        <f>B46*B57</f>
        <v>16174.407567292625</v>
      </c>
      <c r="F5" s="17">
        <f>B51*B62</f>
        <v>31020.51509342698</v>
      </c>
      <c r="G5" s="18"/>
      <c r="H5" s="17"/>
      <c r="I5" s="17"/>
      <c r="J5" s="17">
        <f>B50*B61+C50*C61</f>
        <v>92.6981255725251</v>
      </c>
      <c r="K5" s="17"/>
      <c r="L5" s="17"/>
      <c r="M5" s="17"/>
      <c r="N5" s="17">
        <f>B48*B59+C48*C59</f>
        <v>7196.7760463643071</v>
      </c>
      <c r="O5" s="17">
        <f>B69*B70*B71</f>
        <v>151.64333333333335</v>
      </c>
      <c r="P5" s="17">
        <f>B77*B78*B79/1000-B77*B78*B79/1000/B80</f>
        <v>381.33333333333337</v>
      </c>
    </row>
    <row r="6" spans="1:16">
      <c r="A6" s="16" t="s">
        <v>630</v>
      </c>
      <c r="B6" s="763">
        <f>kWh_PV_kleiner_dan_10kW</f>
        <v>1835.8796850018593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18248.844685001859</v>
      </c>
      <c r="C8" s="21">
        <f>C5</f>
        <v>0</v>
      </c>
      <c r="D8" s="21">
        <f>D5</f>
        <v>23513.071296166268</v>
      </c>
      <c r="E8" s="21">
        <f>E5</f>
        <v>16174.407567292625</v>
      </c>
      <c r="F8" s="21">
        <f>F5</f>
        <v>31020.51509342698</v>
      </c>
      <c r="G8" s="21"/>
      <c r="H8" s="21"/>
      <c r="I8" s="21"/>
      <c r="J8" s="21">
        <f>J5</f>
        <v>92.6981255725251</v>
      </c>
      <c r="K8" s="21"/>
      <c r="L8" s="21">
        <f>L5</f>
        <v>0</v>
      </c>
      <c r="M8" s="21">
        <f>M5</f>
        <v>0</v>
      </c>
      <c r="N8" s="21">
        <f>N5</f>
        <v>7196.7760463643071</v>
      </c>
      <c r="O8" s="21">
        <f>O5</f>
        <v>151.64333333333335</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0.17763923173947679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3241.7107499767644</v>
      </c>
      <c r="C12" s="23">
        <f ca="1">C10*C8</f>
        <v>0</v>
      </c>
      <c r="D12" s="23">
        <f>D8*D10</f>
        <v>4749.6404018255862</v>
      </c>
      <c r="E12" s="23">
        <f>E10*E8</f>
        <v>3671.5905177754257</v>
      </c>
      <c r="F12" s="23">
        <f>F10*F8</f>
        <v>8282.4775299450048</v>
      </c>
      <c r="G12" s="23"/>
      <c r="H12" s="23"/>
      <c r="I12" s="23"/>
      <c r="J12" s="23">
        <f>J10*J8</f>
        <v>32.815136452673883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519</v>
      </c>
      <c r="C18" s="166" t="s">
        <v>110</v>
      </c>
      <c r="D18" s="228"/>
      <c r="E18" s="15"/>
    </row>
    <row r="19" spans="1:7">
      <c r="A19" s="171" t="s">
        <v>71</v>
      </c>
      <c r="B19" s="37">
        <f>aantalw2001_ander</f>
        <v>1</v>
      </c>
      <c r="C19" s="166" t="s">
        <v>110</v>
      </c>
      <c r="D19" s="229"/>
      <c r="E19" s="15"/>
    </row>
    <row r="20" spans="1:7">
      <c r="A20" s="171" t="s">
        <v>72</v>
      </c>
      <c r="B20" s="37">
        <f>aantalw2001_propaan</f>
        <v>94</v>
      </c>
      <c r="C20" s="167">
        <f>IF(ISERROR(B20/SUM($B$20,$B$21,$B$22)*100),0,B20/SUM($B$20,$B$21,$B$22)*100)</f>
        <v>22.488038277511961</v>
      </c>
      <c r="D20" s="229"/>
      <c r="E20" s="15"/>
    </row>
    <row r="21" spans="1:7">
      <c r="A21" s="171" t="s">
        <v>73</v>
      </c>
      <c r="B21" s="37">
        <f>aantalw2001_elektriciteit</f>
        <v>266</v>
      </c>
      <c r="C21" s="167">
        <f>IF(ISERROR(B21/SUM($B$20,$B$21,$B$22)*100),0,B21/SUM($B$20,$B$21,$B$22)*100)</f>
        <v>63.636363636363633</v>
      </c>
      <c r="D21" s="229"/>
      <c r="E21" s="15"/>
    </row>
    <row r="22" spans="1:7">
      <c r="A22" s="171" t="s">
        <v>74</v>
      </c>
      <c r="B22" s="37">
        <f>aantalw2001_hout</f>
        <v>58</v>
      </c>
      <c r="C22" s="167">
        <f>IF(ISERROR(B22/SUM($B$20,$B$21,$B$22)*100),0,B22/SUM($B$20,$B$21,$B$22)*100)</f>
        <v>13.875598086124402</v>
      </c>
      <c r="D22" s="229"/>
      <c r="E22" s="15"/>
    </row>
    <row r="23" spans="1:7">
      <c r="A23" s="171" t="s">
        <v>75</v>
      </c>
      <c r="B23" s="37">
        <f>aantalw2001_niet_gespec</f>
        <v>47</v>
      </c>
      <c r="C23" s="166" t="s">
        <v>110</v>
      </c>
      <c r="D23" s="228"/>
      <c r="E23" s="15"/>
    </row>
    <row r="24" spans="1:7">
      <c r="A24" s="171" t="s">
        <v>76</v>
      </c>
      <c r="B24" s="37">
        <f>aantalw2001_steenkool</f>
        <v>96</v>
      </c>
      <c r="C24" s="166" t="s">
        <v>110</v>
      </c>
      <c r="D24" s="229"/>
      <c r="E24" s="15"/>
    </row>
    <row r="25" spans="1:7">
      <c r="A25" s="171" t="s">
        <v>77</v>
      </c>
      <c r="B25" s="37">
        <f>aantalw2001_stookolie</f>
        <v>2219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3755</v>
      </c>
      <c r="C28" s="36"/>
      <c r="D28" s="228"/>
    </row>
    <row r="29" spans="1:7" s="15" customFormat="1">
      <c r="A29" s="230" t="s">
        <v>737</v>
      </c>
      <c r="B29" s="37">
        <f>SUM(HH_hh_gas_aantal,HH_rest_gas_aantal)</f>
        <v>1445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1445</v>
      </c>
      <c r="C32" s="167">
        <f>IF(ISERROR(B32/SUM($B$32,$B$34,$B$35,$B$36,$B$38,$B$39)*100),0,B32/SUM($B$32,$B$34,$B$35,$B$36,$B$38,$B$39)*100)</f>
        <v>38.688085676037481</v>
      </c>
      <c r="D32" s="233"/>
      <c r="G32" s="15"/>
    </row>
    <row r="33" spans="1:7">
      <c r="A33" s="171" t="s">
        <v>71</v>
      </c>
      <c r="B33" s="34" t="s">
        <v>110</v>
      </c>
      <c r="C33" s="167"/>
      <c r="D33" s="233"/>
      <c r="G33" s="15"/>
    </row>
    <row r="34" spans="1:7">
      <c r="A34" s="171" t="s">
        <v>72</v>
      </c>
      <c r="B34" s="33">
        <f>IF((($B$28-$B$32-$B$39-$B$77-$B$38)*C20/100)&lt;0,0,($B$28-$B$32-$B$39-$B$77-$B$38)*C20/100)</f>
        <v>202.61722488038279</v>
      </c>
      <c r="C34" s="167">
        <f>IF(ISERROR(B34/SUM($B$32,$B$34,$B$35,$B$36,$B$38,$B$39)*100),0,B34/SUM($B$32,$B$34,$B$35,$B$36,$B$38,$B$39)*100)</f>
        <v>5.424825298002216</v>
      </c>
      <c r="D34" s="233"/>
      <c r="G34" s="15"/>
    </row>
    <row r="35" spans="1:7">
      <c r="A35" s="171" t="s">
        <v>73</v>
      </c>
      <c r="B35" s="33">
        <f>IF((($B$28-$B$32-$B$39-$B$77-$B$38)*C21/100)&lt;0,0,($B$28-$B$32-$B$39-$B$77-$B$38)*C21/100)</f>
        <v>573.36363636363637</v>
      </c>
      <c r="C35" s="167">
        <f>IF(ISERROR(B35/SUM($B$32,$B$34,$B$35,$B$36,$B$38,$B$39)*100),0,B35/SUM($B$32,$B$34,$B$35,$B$36,$B$38,$B$39)*100)</f>
        <v>15.351101375197763</v>
      </c>
      <c r="D35" s="233"/>
      <c r="G35" s="15"/>
    </row>
    <row r="36" spans="1:7">
      <c r="A36" s="171" t="s">
        <v>74</v>
      </c>
      <c r="B36" s="33">
        <f>IF((($B$28-$B$32-$B$39-$B$77-$B$38)*C22/100)&lt;0,0,($B$28-$B$32-$B$39-$B$77-$B$38)*C22/100)</f>
        <v>125.01913875598088</v>
      </c>
      <c r="C36" s="167">
        <f>IF(ISERROR(B36/SUM($B$32,$B$34,$B$35,$B$36,$B$38,$B$39)*100),0,B36/SUM($B$32,$B$34,$B$35,$B$36,$B$38,$B$39)*100)</f>
        <v>3.3472326306822189</v>
      </c>
      <c r="D36" s="233"/>
      <c r="G36" s="15"/>
    </row>
    <row r="37" spans="1:7">
      <c r="A37" s="171" t="s">
        <v>75</v>
      </c>
      <c r="B37" s="34" t="s">
        <v>110</v>
      </c>
      <c r="C37" s="167"/>
      <c r="D37" s="173"/>
      <c r="G37" s="15"/>
    </row>
    <row r="38" spans="1:7">
      <c r="A38" s="171" t="s">
        <v>76</v>
      </c>
      <c r="B38" s="33">
        <f>IF((B24-(B29-B18)*0.1)&lt;0,0,B24-(B29-B18)*0.1)</f>
        <v>3.3999999999999915</v>
      </c>
      <c r="C38" s="167">
        <f>IF(ISERROR(B38/SUM($B$32,$B$34,$B$35,$B$36,$B$38,$B$39)*100),0,B38/SUM($B$32,$B$34,$B$35,$B$36,$B$38,$B$39)*100)</f>
        <v>9.1030789825970321E-2</v>
      </c>
      <c r="D38" s="234"/>
      <c r="G38" s="15"/>
    </row>
    <row r="39" spans="1:7">
      <c r="A39" s="171" t="s">
        <v>77</v>
      </c>
      <c r="B39" s="33">
        <f>IF((B25-(B29-B18))&lt;0,0,B25-(B29-B18)*0.9)</f>
        <v>1385.6</v>
      </c>
      <c r="C39" s="167">
        <f>IF(ISERROR(B39/SUM($B$32,$B$34,$B$35,$B$36,$B$38,$B$39)*100),0,B39/SUM($B$32,$B$34,$B$35,$B$36,$B$38,$B$39)*100)</f>
        <v>37.09772423025435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1445</v>
      </c>
      <c r="C44" s="34" t="s">
        <v>110</v>
      </c>
      <c r="D44" s="174"/>
    </row>
    <row r="45" spans="1:7">
      <c r="A45" s="171" t="s">
        <v>71</v>
      </c>
      <c r="B45" s="33" t="str">
        <f t="shared" si="0"/>
        <v>-</v>
      </c>
      <c r="C45" s="34" t="s">
        <v>110</v>
      </c>
      <c r="D45" s="174"/>
    </row>
    <row r="46" spans="1:7">
      <c r="A46" s="171" t="s">
        <v>72</v>
      </c>
      <c r="B46" s="33">
        <f t="shared" si="0"/>
        <v>202.61722488038279</v>
      </c>
      <c r="C46" s="34" t="s">
        <v>110</v>
      </c>
      <c r="D46" s="174"/>
    </row>
    <row r="47" spans="1:7">
      <c r="A47" s="171" t="s">
        <v>73</v>
      </c>
      <c r="B47" s="33">
        <f t="shared" si="0"/>
        <v>573.36363636363637</v>
      </c>
      <c r="C47" s="34" t="s">
        <v>110</v>
      </c>
      <c r="D47" s="174"/>
    </row>
    <row r="48" spans="1:7">
      <c r="A48" s="171" t="s">
        <v>74</v>
      </c>
      <c r="B48" s="33">
        <f t="shared" si="0"/>
        <v>125.01913875598088</v>
      </c>
      <c r="C48" s="33">
        <f>B48*10</f>
        <v>1250.1913875598088</v>
      </c>
      <c r="D48" s="234"/>
    </row>
    <row r="49" spans="1:6">
      <c r="A49" s="171" t="s">
        <v>75</v>
      </c>
      <c r="B49" s="33" t="str">
        <f t="shared" si="0"/>
        <v>-</v>
      </c>
      <c r="C49" s="34" t="s">
        <v>110</v>
      </c>
      <c r="D49" s="234"/>
    </row>
    <row r="50" spans="1:6">
      <c r="A50" s="171" t="s">
        <v>76</v>
      </c>
      <c r="B50" s="33">
        <f t="shared" si="0"/>
        <v>3.3999999999999915</v>
      </c>
      <c r="C50" s="33">
        <f>B50*2</f>
        <v>6.7999999999999829</v>
      </c>
      <c r="D50" s="234"/>
    </row>
    <row r="51" spans="1:6">
      <c r="A51" s="171" t="s">
        <v>77</v>
      </c>
      <c r="B51" s="33">
        <f t="shared" si="0"/>
        <v>1385.6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8783.5740000000005</v>
      </c>
      <c r="C5" s="17">
        <f>IF(ISERROR('Eigen informatie GS &amp; warmtenet'!B58),0,'Eigen informatie GS &amp; warmtenet'!B58)</f>
        <v>0</v>
      </c>
      <c r="D5" s="30">
        <f>SUM(D6:D12)</f>
        <v>7363.2132592689086</v>
      </c>
      <c r="E5" s="17">
        <f>SUM(E6:E12)</f>
        <v>54.415789095169956</v>
      </c>
      <c r="F5" s="17">
        <f>SUM(F6:F12)</f>
        <v>1464.1644603557188</v>
      </c>
      <c r="G5" s="18"/>
      <c r="H5" s="17"/>
      <c r="I5" s="17"/>
      <c r="J5" s="17">
        <f>SUM(J6:J12)</f>
        <v>0</v>
      </c>
      <c r="K5" s="17"/>
      <c r="L5" s="17"/>
      <c r="M5" s="17"/>
      <c r="N5" s="17">
        <f>SUM(N6:N12)</f>
        <v>2483.9091296048741</v>
      </c>
      <c r="O5" s="17">
        <f>B38*B39*B40</f>
        <v>4.6900000000000004</v>
      </c>
      <c r="P5" s="17">
        <f>B46*B47*B48/1000-B46*B47*B48/1000/B49</f>
        <v>0</v>
      </c>
      <c r="R5" s="32"/>
    </row>
    <row r="6" spans="1:18">
      <c r="A6" s="32" t="s">
        <v>53</v>
      </c>
      <c r="B6" s="37">
        <f>B26</f>
        <v>1495.845</v>
      </c>
      <c r="C6" s="33"/>
      <c r="D6" s="37">
        <f>IF(ISERROR(TER_kantoor_gas_kWh/1000),0,TER_kantoor_gas_kWh/1000)*0.902</f>
        <v>2812.8394070787112</v>
      </c>
      <c r="E6" s="33">
        <f>$C$26*'E Balans VL '!I12/100/3.6*1000000</f>
        <v>4.3336824365809461</v>
      </c>
      <c r="F6" s="33">
        <f>$C$26*('E Balans VL '!L12+'E Balans VL '!N12)/100/3.6*1000000</f>
        <v>169.29669797949248</v>
      </c>
      <c r="G6" s="34"/>
      <c r="H6" s="33"/>
      <c r="I6" s="33"/>
      <c r="J6" s="33">
        <f>$C$26*('E Balans VL '!D12+'E Balans VL '!E12)/100/3.6*1000000</f>
        <v>0</v>
      </c>
      <c r="K6" s="33"/>
      <c r="L6" s="33"/>
      <c r="M6" s="33"/>
      <c r="N6" s="33">
        <f>$C$26*'E Balans VL '!Y12/100/3.6*1000000</f>
        <v>14.972306262192674</v>
      </c>
      <c r="O6" s="33"/>
      <c r="P6" s="33"/>
      <c r="R6" s="32"/>
    </row>
    <row r="7" spans="1:18">
      <c r="A7" s="32" t="s">
        <v>52</v>
      </c>
      <c r="B7" s="37">
        <f t="shared" ref="B7:B12" si="0">B27</f>
        <v>271.66679999999997</v>
      </c>
      <c r="C7" s="33"/>
      <c r="D7" s="37">
        <f>IF(ISERROR(TER_horeca_gas_kWh/1000),0,TER_horeca_gas_kWh/1000)*0.902</f>
        <v>234.91353347314549</v>
      </c>
      <c r="E7" s="33">
        <f>$C$27*'E Balans VL '!I9/100/3.6*1000000</f>
        <v>11.403813241961984</v>
      </c>
      <c r="F7" s="33">
        <f>$C$27*('E Balans VL '!L9+'E Balans VL '!N9)/100/3.6*1000000</f>
        <v>58.373183032432138</v>
      </c>
      <c r="G7" s="34"/>
      <c r="H7" s="33"/>
      <c r="I7" s="33"/>
      <c r="J7" s="33">
        <f>$C$27*('E Balans VL '!D9+'E Balans VL '!E9)/100/3.6*1000000</f>
        <v>0</v>
      </c>
      <c r="K7" s="33"/>
      <c r="L7" s="33"/>
      <c r="M7" s="33"/>
      <c r="N7" s="33">
        <f>$C$27*'E Balans VL '!Y9/100/3.6*1000000</f>
        <v>7.0006158547645914E-2</v>
      </c>
      <c r="O7" s="33"/>
      <c r="P7" s="33"/>
      <c r="R7" s="32"/>
    </row>
    <row r="8" spans="1:18">
      <c r="A8" s="6" t="s">
        <v>51</v>
      </c>
      <c r="B8" s="37">
        <f t="shared" si="0"/>
        <v>1462.4970000000001</v>
      </c>
      <c r="C8" s="33"/>
      <c r="D8" s="37">
        <f>IF(ISERROR(TER_handel_gas_kWh/1000),0,TER_handel_gas_kWh/1000)*0.902</f>
        <v>389.59750162679342</v>
      </c>
      <c r="E8" s="33">
        <f>$C$28*'E Balans VL '!I13/100/3.6*1000000</f>
        <v>15.708434981652209</v>
      </c>
      <c r="F8" s="33">
        <f>$C$28*('E Balans VL '!L13+'E Balans VL '!N13)/100/3.6*1000000</f>
        <v>189.33231370126009</v>
      </c>
      <c r="G8" s="34"/>
      <c r="H8" s="33"/>
      <c r="I8" s="33"/>
      <c r="J8" s="33">
        <f>$C$28*('E Balans VL '!D13+'E Balans VL '!E13)/100/3.6*1000000</f>
        <v>0</v>
      </c>
      <c r="K8" s="33"/>
      <c r="L8" s="33"/>
      <c r="M8" s="33"/>
      <c r="N8" s="33">
        <f>$C$28*'E Balans VL '!Y13/100/3.6*1000000</f>
        <v>11.863855519808293</v>
      </c>
      <c r="O8" s="33"/>
      <c r="P8" s="33"/>
      <c r="R8" s="32"/>
    </row>
    <row r="9" spans="1:18">
      <c r="A9" s="32" t="s">
        <v>50</v>
      </c>
      <c r="B9" s="37">
        <f t="shared" si="0"/>
        <v>1019.23</v>
      </c>
      <c r="C9" s="33"/>
      <c r="D9" s="37">
        <f>IF(ISERROR(TER_gezond_gas_kWh/1000),0,TER_gezond_gas_kWh/1000)*0.902</f>
        <v>102.29779534361512</v>
      </c>
      <c r="E9" s="33">
        <f>$C$29*'E Balans VL '!I10/100/3.6*1000000</f>
        <v>0.81137300203029661</v>
      </c>
      <c r="F9" s="33">
        <f>$C$29*('E Balans VL '!L10+'E Balans VL '!N10)/100/3.6*1000000</f>
        <v>123.902135700165</v>
      </c>
      <c r="G9" s="34"/>
      <c r="H9" s="33"/>
      <c r="I9" s="33"/>
      <c r="J9" s="33">
        <f>$C$29*('E Balans VL '!D10+'E Balans VL '!E10)/100/3.6*1000000</f>
        <v>0</v>
      </c>
      <c r="K9" s="33"/>
      <c r="L9" s="33"/>
      <c r="M9" s="33"/>
      <c r="N9" s="33">
        <f>$C$29*'E Balans VL '!Y10/100/3.6*1000000</f>
        <v>8.2330699127532903</v>
      </c>
      <c r="O9" s="33"/>
      <c r="P9" s="33"/>
      <c r="R9" s="32"/>
    </row>
    <row r="10" spans="1:18">
      <c r="A10" s="32" t="s">
        <v>49</v>
      </c>
      <c r="B10" s="37">
        <f t="shared" si="0"/>
        <v>3332.6950000000002</v>
      </c>
      <c r="C10" s="33"/>
      <c r="D10" s="37">
        <f>IF(ISERROR(TER_ander_gas_kWh/1000),0,TER_ander_gas_kWh/1000)*0.902</f>
        <v>412.9134960929477</v>
      </c>
      <c r="E10" s="33">
        <f>$C$30*'E Balans VL '!I14/100/3.6*1000000</f>
        <v>11.421320842352841</v>
      </c>
      <c r="F10" s="33">
        <f>$C$30*('E Balans VL '!L14+'E Balans VL '!N14)/100/3.6*1000000</f>
        <v>744.38863822776455</v>
      </c>
      <c r="G10" s="34"/>
      <c r="H10" s="33"/>
      <c r="I10" s="33"/>
      <c r="J10" s="33">
        <f>$C$30*('E Balans VL '!D14+'E Balans VL '!E14)/100/3.6*1000000</f>
        <v>0</v>
      </c>
      <c r="K10" s="33"/>
      <c r="L10" s="33"/>
      <c r="M10" s="33"/>
      <c r="N10" s="33">
        <f>$C$30*'E Balans VL '!Y14/100/3.6*1000000</f>
        <v>2347.5685641569044</v>
      </c>
      <c r="O10" s="33"/>
      <c r="P10" s="33"/>
      <c r="R10" s="32"/>
    </row>
    <row r="11" spans="1:18">
      <c r="A11" s="32" t="s">
        <v>54</v>
      </c>
      <c r="B11" s="37">
        <f t="shared" si="0"/>
        <v>15.215200000000001</v>
      </c>
      <c r="C11" s="33"/>
      <c r="D11" s="37">
        <f>IF(ISERROR(TER_onderwijs_gas_kWh/1000),0,TER_onderwijs_gas_kWh/1000)*0.902</f>
        <v>0</v>
      </c>
      <c r="E11" s="33">
        <f>$C$31*'E Balans VL '!I11/100/3.6*1000000</f>
        <v>1.0517799168718719E-2</v>
      </c>
      <c r="F11" s="33">
        <f>$C$31*('E Balans VL '!L11+'E Balans VL '!N11)/100/3.6*1000000</f>
        <v>3.9828973884284919</v>
      </c>
      <c r="G11" s="34"/>
      <c r="H11" s="33"/>
      <c r="I11" s="33"/>
      <c r="J11" s="33">
        <f>$C$31*('E Balans VL '!D11+'E Balans VL '!E11)/100/3.6*1000000</f>
        <v>0</v>
      </c>
      <c r="K11" s="33"/>
      <c r="L11" s="33"/>
      <c r="M11" s="33"/>
      <c r="N11" s="33">
        <f>$C$31*'E Balans VL '!Y11/100/3.6*1000000</f>
        <v>1.5145435670357218E-2</v>
      </c>
      <c r="O11" s="33"/>
      <c r="P11" s="33"/>
      <c r="R11" s="32"/>
    </row>
    <row r="12" spans="1:18">
      <c r="A12" s="32" t="s">
        <v>259</v>
      </c>
      <c r="B12" s="37">
        <f t="shared" si="0"/>
        <v>1186.425</v>
      </c>
      <c r="C12" s="33"/>
      <c r="D12" s="37">
        <f>IF(ISERROR(TER_rest_gas_kWh/1000),0,TER_rest_gas_kWh/1000)*0.902</f>
        <v>3410.6515256536954</v>
      </c>
      <c r="E12" s="33">
        <f>$C$32*'E Balans VL '!I8/100/3.6*1000000</f>
        <v>10.726646791422965</v>
      </c>
      <c r="F12" s="33">
        <f>$C$32*('E Balans VL '!L8+'E Balans VL '!N8)/100/3.6*1000000</f>
        <v>174.88859432617591</v>
      </c>
      <c r="G12" s="34"/>
      <c r="H12" s="33"/>
      <c r="I12" s="33"/>
      <c r="J12" s="33">
        <f>$C$32*('E Balans VL '!D8+'E Balans VL '!E8)/100/3.6*1000000</f>
        <v>0</v>
      </c>
      <c r="K12" s="33"/>
      <c r="L12" s="33"/>
      <c r="M12" s="33"/>
      <c r="N12" s="33">
        <f>$C$32*'E Balans VL '!Y8/100/3.6*1000000</f>
        <v>101.18618215899723</v>
      </c>
      <c r="O12" s="33"/>
      <c r="P12" s="33"/>
      <c r="R12" s="32"/>
    </row>
    <row r="13" spans="1:18">
      <c r="A13" s="16" t="s">
        <v>493</v>
      </c>
      <c r="B13" s="247">
        <f ca="1">'lokale energieproductie'!N38+'lokale energieproductie'!N31</f>
        <v>4918.5</v>
      </c>
      <c r="C13" s="247">
        <f ca="1">'lokale energieproductie'!O38+'lokale energieproductie'!O31</f>
        <v>60.75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-135</v>
      </c>
      <c r="M13" s="248"/>
      <c r="N13" s="308">
        <f ca="1">('lokale energieproductie'!Q31+'lokale energieproductie'!R31+'lokale energieproductie'!V31+'lokale energieproductie'!Q38+'lokale energieproductie'!R38+'lokale energieproductie'!V38)*(-1)</f>
        <v>-13898.571428571429</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13702.074000000001</v>
      </c>
      <c r="C16" s="21">
        <f t="shared" ca="1" si="1"/>
        <v>60.75</v>
      </c>
      <c r="D16" s="21">
        <f t="shared" ca="1" si="1"/>
        <v>7363.2132592689086</v>
      </c>
      <c r="E16" s="21">
        <f t="shared" si="1"/>
        <v>54.415789095169956</v>
      </c>
      <c r="F16" s="21">
        <f t="shared" ca="1" si="1"/>
        <v>1464.1644603557188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0.17763923173947679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2434.0258985974597</v>
      </c>
      <c r="C20" s="23">
        <f t="shared" ref="C20:P20" ca="1" si="2">C16*C18</f>
        <v>0</v>
      </c>
      <c r="D20" s="23">
        <f t="shared" ca="1" si="2"/>
        <v>1487.3690783723196</v>
      </c>
      <c r="E20" s="23">
        <f t="shared" si="2"/>
        <v>12.35238412460358</v>
      </c>
      <c r="F20" s="23">
        <f t="shared" ca="1" si="2"/>
        <v>390.93191091497692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1495.845</v>
      </c>
      <c r="C26" s="39">
        <f>IF(ISERROR(B26*3.6/1000000/'E Balans VL '!Z12*100),0,B26*3.6/1000000/'E Balans VL '!Z12*100)</f>
        <v>3.2857964794994345E-2</v>
      </c>
      <c r="D26" s="237" t="s">
        <v>691</v>
      </c>
      <c r="F26" s="6"/>
    </row>
    <row r="27" spans="1:18">
      <c r="A27" s="231" t="s">
        <v>52</v>
      </c>
      <c r="B27" s="33">
        <f>IF(ISERROR(TER_horeca_ele_kWh/1000),0,TER_horeca_ele_kWh/1000)</f>
        <v>271.66679999999997</v>
      </c>
      <c r="C27" s="39">
        <f>IF(ISERROR(B27*3.6/1000000/'E Balans VL '!Z9*100),0,B27*3.6/1000000/'E Balans VL '!Z9*100)</f>
        <v>2.1831135386646883E-2</v>
      </c>
      <c r="D27" s="237" t="s">
        <v>691</v>
      </c>
      <c r="F27" s="6"/>
    </row>
    <row r="28" spans="1:18">
      <c r="A28" s="171" t="s">
        <v>51</v>
      </c>
      <c r="B28" s="33">
        <f>IF(ISERROR(TER_handel_ele_kWh/1000),0,TER_handel_ele_kWh/1000)</f>
        <v>1462.4970000000001</v>
      </c>
      <c r="C28" s="39">
        <f>IF(ISERROR(B28*3.6/1000000/'E Balans VL '!Z13*100),0,B28*3.6/1000000/'E Balans VL '!Z13*100)</f>
        <v>4.3245014568143149E-2</v>
      </c>
      <c r="D28" s="237" t="s">
        <v>691</v>
      </c>
      <c r="F28" s="6"/>
    </row>
    <row r="29" spans="1:18">
      <c r="A29" s="231" t="s">
        <v>50</v>
      </c>
      <c r="B29" s="33">
        <f>IF(ISERROR(TER_gezond_ele_kWh/1000),0,TER_gezond_ele_kWh/1000)</f>
        <v>1019.23</v>
      </c>
      <c r="C29" s="39">
        <f>IF(ISERROR(B29*3.6/1000000/'E Balans VL '!Z10*100),0,B29*3.6/1000000/'E Balans VL '!Z10*100)</f>
        <v>0.11484090680100251</v>
      </c>
      <c r="D29" s="237" t="s">
        <v>691</v>
      </c>
      <c r="F29" s="6"/>
    </row>
    <row r="30" spans="1:18">
      <c r="A30" s="231" t="s">
        <v>49</v>
      </c>
      <c r="B30" s="33">
        <f>IF(ISERROR(TER_ander_ele_kWh/1000),0,TER_ander_ele_kWh/1000)</f>
        <v>3332.6950000000002</v>
      </c>
      <c r="C30" s="39">
        <f>IF(ISERROR(B30*3.6/1000000/'E Balans VL '!Z14*100),0,B30*3.6/1000000/'E Balans VL '!Z14*100)</f>
        <v>0.25204602586523067</v>
      </c>
      <c r="D30" s="237" t="s">
        <v>691</v>
      </c>
      <c r="F30" s="6"/>
    </row>
    <row r="31" spans="1:18">
      <c r="A31" s="231" t="s">
        <v>54</v>
      </c>
      <c r="B31" s="33">
        <f>IF(ISERROR(TER_onderwijs_ele_kWh/1000),0,TER_onderwijs_ele_kWh/1000)</f>
        <v>15.215200000000001</v>
      </c>
      <c r="C31" s="39">
        <f>IF(ISERROR(B31*3.6/1000000/'E Balans VL '!Z11*100),0,B31*3.6/1000000/'E Balans VL '!Z11*100)</f>
        <v>3.1583223142952711E-3</v>
      </c>
      <c r="D31" s="237" t="s">
        <v>691</v>
      </c>
    </row>
    <row r="32" spans="1:18">
      <c r="A32" s="231" t="s">
        <v>259</v>
      </c>
      <c r="B32" s="33">
        <f>IF(ISERROR(TER_rest_ele_kWh/1000),0,TER_rest_ele_kWh/1000)</f>
        <v>1186.425</v>
      </c>
      <c r="C32" s="39">
        <f>IF(ISERROR(B32*3.6/1000000/'E Balans VL '!Z8*100),0,B32*3.6/1000000/'E Balans VL '!Z8*100)</f>
        <v>9.994932674808334E-3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1175.29315</v>
      </c>
      <c r="C5" s="17">
        <f>IF(ISERROR('Eigen informatie GS &amp; warmtenet'!B59),0,'Eigen informatie GS &amp; warmtenet'!B59)</f>
        <v>0</v>
      </c>
      <c r="D5" s="30">
        <f>SUM(D6:D15)</f>
        <v>606.53247415550697</v>
      </c>
      <c r="E5" s="17">
        <f>SUM(E6:E15)</f>
        <v>171.97160768165759</v>
      </c>
      <c r="F5" s="17">
        <f>SUM(F6:F15)</f>
        <v>846.05244901546519</v>
      </c>
      <c r="G5" s="18"/>
      <c r="H5" s="17"/>
      <c r="I5" s="17"/>
      <c r="J5" s="17">
        <f>SUM(J6:J15)</f>
        <v>5.8995462973578965</v>
      </c>
      <c r="K5" s="17"/>
      <c r="L5" s="17"/>
      <c r="M5" s="17"/>
      <c r="N5" s="17">
        <f>SUM(N6:N15)</f>
        <v>156.25947216480125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21.556450000000002</v>
      </c>
      <c r="C8" s="33"/>
      <c r="D8" s="37">
        <f>IF( ISERROR(IND_metaal_Gas_kWH/1000),0,IND_metaal_Gas_kWH/1000)*0.902</f>
        <v>0</v>
      </c>
      <c r="E8" s="33">
        <f>C30*'E Balans VL '!I18/100/3.6*1000000</f>
        <v>0.53948249754132438</v>
      </c>
      <c r="F8" s="33">
        <f>C30*'E Balans VL '!L18/100/3.6*1000000+C30*'E Balans VL '!N18/100/3.6*1000000</f>
        <v>6.7558986572967816</v>
      </c>
      <c r="G8" s="34"/>
      <c r="H8" s="33"/>
      <c r="I8" s="33"/>
      <c r="J8" s="40">
        <f>C30*'E Balans VL '!D18/100/3.6*1000000+C30*'E Balans VL '!E18/100/3.6*1000000</f>
        <v>0</v>
      </c>
      <c r="K8" s="33"/>
      <c r="L8" s="33"/>
      <c r="M8" s="33"/>
      <c r="N8" s="33">
        <f>C30*'E Balans VL '!Y18/100/3.6*1000000</f>
        <v>0.54155396786609278</v>
      </c>
      <c r="O8" s="33"/>
      <c r="P8" s="33"/>
      <c r="R8" s="32"/>
    </row>
    <row r="9" spans="1:18">
      <c r="A9" s="6" t="s">
        <v>32</v>
      </c>
      <c r="B9" s="37">
        <f t="shared" si="0"/>
        <v>533.42560000000003</v>
      </c>
      <c r="C9" s="33"/>
      <c r="D9" s="37">
        <f>IF( ISERROR(IND_andere_gas_kWh/1000),0,IND_andere_gas_kWh/1000)*0.902</f>
        <v>81.805361349256216</v>
      </c>
      <c r="E9" s="33">
        <f>C31*'E Balans VL '!I19/100/3.6*1000000</f>
        <v>146.67016151936065</v>
      </c>
      <c r="F9" s="33">
        <f>C31*'E Balans VL '!L19/100/3.6*1000000+C31*'E Balans VL '!N19/100/3.6*1000000</f>
        <v>420.43219551888183</v>
      </c>
      <c r="G9" s="34"/>
      <c r="H9" s="33"/>
      <c r="I9" s="33"/>
      <c r="J9" s="40">
        <f>C31*'E Balans VL '!D19/100/3.6*1000000+C31*'E Balans VL '!E19/100/3.6*1000000</f>
        <v>0</v>
      </c>
      <c r="K9" s="33"/>
      <c r="L9" s="33"/>
      <c r="M9" s="33"/>
      <c r="N9" s="33">
        <f>C31*'E Balans VL '!Y19/100/3.6*1000000</f>
        <v>42.973102477061325</v>
      </c>
      <c r="O9" s="33"/>
      <c r="P9" s="33"/>
      <c r="R9" s="32"/>
    </row>
    <row r="10" spans="1:18">
      <c r="A10" s="6" t="s">
        <v>40</v>
      </c>
      <c r="B10" s="37">
        <f t="shared" si="0"/>
        <v>167.04560000000001</v>
      </c>
      <c r="C10" s="33"/>
      <c r="D10" s="37">
        <f>IF( ISERROR(IND_voed_gas_kWh/1000),0,IND_voed_gas_kWh/1000)*0.902</f>
        <v>273.46905307372231</v>
      </c>
      <c r="E10" s="33">
        <f>C32*'E Balans VL '!I20/100/3.6*1000000</f>
        <v>1.7029378660538579</v>
      </c>
      <c r="F10" s="33">
        <f>C32*'E Balans VL '!L20/100/3.6*1000000+C32*'E Balans VL '!N20/100/3.6*1000000</f>
        <v>315.54809363062469</v>
      </c>
      <c r="G10" s="34"/>
      <c r="H10" s="33"/>
      <c r="I10" s="33"/>
      <c r="J10" s="40">
        <f>C32*'E Balans VL '!D20/100/3.6*1000000+C32*'E Balans VL '!E20/100/3.6*1000000</f>
        <v>3.9979477836777657</v>
      </c>
      <c r="K10" s="33"/>
      <c r="L10" s="33"/>
      <c r="M10" s="33"/>
      <c r="N10" s="33">
        <f>C32*'E Balans VL '!Y20/100/3.6*1000000</f>
        <v>88.052272493683972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453.26549999999997</v>
      </c>
      <c r="C15" s="33"/>
      <c r="D15" s="37">
        <f>IF( ISERROR(IND_rest_gas_kWh/1000),0,IND_rest_gas_kWh/1000)*0.902</f>
        <v>251.25805973252847</v>
      </c>
      <c r="E15" s="33">
        <f>C37*'E Balans VL '!I15/100/3.6*1000000</f>
        <v>23.059025798701796</v>
      </c>
      <c r="F15" s="33">
        <f>C37*'E Balans VL '!L15/100/3.6*1000000+C37*'E Balans VL '!N15/100/3.6*1000000</f>
        <v>103.31626120866193</v>
      </c>
      <c r="G15" s="34"/>
      <c r="H15" s="33"/>
      <c r="I15" s="33"/>
      <c r="J15" s="40">
        <f>C37*'E Balans VL '!D15/100/3.6*1000000+C37*'E Balans VL '!E15/100/3.6*1000000</f>
        <v>1.9015985136801308</v>
      </c>
      <c r="K15" s="33"/>
      <c r="L15" s="33"/>
      <c r="M15" s="33"/>
      <c r="N15" s="33">
        <f>C37*'E Balans VL '!Y15/100/3.6*1000000</f>
        <v>24.692543226189851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1175.29315</v>
      </c>
      <c r="C18" s="21">
        <f>C5+C16</f>
        <v>0</v>
      </c>
      <c r="D18" s="21">
        <f>MAX((D5+D16),0)</f>
        <v>606.53247415550697</v>
      </c>
      <c r="E18" s="21">
        <f>MAX((E5+E16),0)</f>
        <v>171.97160768165759</v>
      </c>
      <c r="F18" s="21">
        <f>MAX((F5+F16),0)</f>
        <v>846.05244901546519</v>
      </c>
      <c r="G18" s="21"/>
      <c r="H18" s="21"/>
      <c r="I18" s="21"/>
      <c r="J18" s="21">
        <f>MAX((J5+J16),0)</f>
        <v>5.8995462973578965</v>
      </c>
      <c r="K18" s="21"/>
      <c r="L18" s="21">
        <f>MAX((L5+L16),0)</f>
        <v>0</v>
      </c>
      <c r="M18" s="21"/>
      <c r="N18" s="21">
        <f>MAX((N5+N16),0)</f>
        <v>156.25947216480125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0.17763923173947679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208.77817223466965</v>
      </c>
      <c r="C22" s="23">
        <f ca="1">C18*C20</f>
        <v>0</v>
      </c>
      <c r="D22" s="23">
        <f>D18*D20</f>
        <v>122.51955977941242</v>
      </c>
      <c r="E22" s="23">
        <f>E18*E20</f>
        <v>39.037554943736275</v>
      </c>
      <c r="F22" s="23">
        <f>F18*F20</f>
        <v>225.89600388712921</v>
      </c>
      <c r="G22" s="23"/>
      <c r="H22" s="23"/>
      <c r="I22" s="23"/>
      <c r="J22" s="23">
        <f>J18*J20</f>
        <v>2.0884393892646953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21.556450000000002</v>
      </c>
      <c r="C30" s="39">
        <f>IF(ISERROR(B30*3.6/1000000/'E Balans VL '!Z18*100),0,B30*3.6/1000000/'E Balans VL '!Z18*100)</f>
        <v>3.0171846233676245E-3</v>
      </c>
      <c r="D30" s="237" t="s">
        <v>691</v>
      </c>
    </row>
    <row r="31" spans="1:18">
      <c r="A31" s="6" t="s">
        <v>32</v>
      </c>
      <c r="B31" s="37">
        <f>IF( ISERROR(IND_ander_ele_kWh/1000),0,IND_ander_ele_kWh/1000)</f>
        <v>533.42560000000003</v>
      </c>
      <c r="C31" s="39">
        <f>IF(ISERROR(B31*3.6/1000000/'E Balans VL '!Z19*100),0,B31*3.6/1000000/'E Balans VL '!Z19*100)</f>
        <v>2.334795197807343E-2</v>
      </c>
      <c r="D31" s="237" t="s">
        <v>691</v>
      </c>
    </row>
    <row r="32" spans="1:18">
      <c r="A32" s="171" t="s">
        <v>40</v>
      </c>
      <c r="B32" s="37">
        <f>IF( ISERROR(IND_voed_ele_kWh/1000),0,IND_voed_ele_kWh/1000)</f>
        <v>167.04560000000001</v>
      </c>
      <c r="C32" s="39">
        <f>IF(ISERROR(B32*3.6/1000000/'E Balans VL '!Z20*100),0,B32*3.6/1000000/'E Balans VL '!Z20*100)</f>
        <v>4.1354943249247773E-2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453.26549999999997</v>
      </c>
      <c r="C37" s="39">
        <f>IF(ISERROR(B37*3.6/1000000/'E Balans VL '!Z15*100),0,B37*3.6/1000000/'E Balans VL '!Z15*100)</f>
        <v>3.360886080162545E-3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434.67805400000003</v>
      </c>
      <c r="C5" s="17">
        <f>'Eigen informatie GS &amp; warmtenet'!B60</f>
        <v>0</v>
      </c>
      <c r="D5" s="30">
        <f>IF(ISERROR(SUM(LB_lb_gas_kWh,LB_rest_gas_kWh)/1000),0,SUM(LB_lb_gas_kWh,LB_rest_gas_kWh)/1000)*0.902</f>
        <v>65.875079186031385</v>
      </c>
      <c r="E5" s="17">
        <f>B17*'E Balans VL '!I25/3.6*1000000/100</f>
        <v>4.0261701960523109</v>
      </c>
      <c r="F5" s="17">
        <f>B17*('E Balans VL '!L25/3.6*1000000+'E Balans VL '!N25/3.6*1000000)/100</f>
        <v>1102.8610290823096</v>
      </c>
      <c r="G5" s="18"/>
      <c r="H5" s="17"/>
      <c r="I5" s="17"/>
      <c r="J5" s="17">
        <f>('E Balans VL '!D25+'E Balans VL '!E25)/3.6*1000000*landbouw!B17/100</f>
        <v>66.640996699440805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434.67805400000003</v>
      </c>
      <c r="C8" s="21">
        <f>C5+C6</f>
        <v>0</v>
      </c>
      <c r="D8" s="21">
        <f>MAX((D5+D6),0)</f>
        <v>65.875079186031385</v>
      </c>
      <c r="E8" s="21">
        <f>MAX((E5+E6),0)</f>
        <v>4.0261701960523109</v>
      </c>
      <c r="F8" s="21">
        <f>MAX((F5+F6),0)</f>
        <v>1102.8610290823096</v>
      </c>
      <c r="G8" s="21"/>
      <c r="H8" s="21"/>
      <c r="I8" s="21"/>
      <c r="J8" s="21">
        <f>MAX((J5+J6),0)</f>
        <v>66.640996699440805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0.17763923173947679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77.215875566570816</v>
      </c>
      <c r="C12" s="23">
        <f ca="1">C8*C10</f>
        <v>0</v>
      </c>
      <c r="D12" s="23">
        <f>D8*D10</f>
        <v>13.30676599557834</v>
      </c>
      <c r="E12" s="23">
        <f>E8*E10</f>
        <v>0.91394063450387464</v>
      </c>
      <c r="F12" s="23">
        <f>F8*F10</f>
        <v>294.46389476497671</v>
      </c>
      <c r="G12" s="23"/>
      <c r="H12" s="23"/>
      <c r="I12" s="23"/>
      <c r="J12" s="23">
        <f>J8*J10</f>
        <v>23.590912831602044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6.180200251094544E-2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160.39168294739318</v>
      </c>
      <c r="C26" s="247">
        <f>B26*'GWP N2O_CH4'!B5</f>
        <v>3368.2253418952569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25.884704473073786</v>
      </c>
      <c r="C27" s="247">
        <f>B27*'GWP N2O_CH4'!B5</f>
        <v>543.57879393454948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2.1631729748827793</v>
      </c>
      <c r="C28" s="247">
        <f>B28*'GWP N2O_CH4'!B4</f>
        <v>670.58362221366156</v>
      </c>
      <c r="D28" s="50"/>
    </row>
    <row r="29" spans="1:4">
      <c r="A29" s="41" t="s">
        <v>276</v>
      </c>
      <c r="B29" s="247">
        <f>B34*'ha_N2O bodem landbouw'!B4</f>
        <v>12.306184307368655</v>
      </c>
      <c r="C29" s="247">
        <f>B29*'GWP N2O_CH4'!B4</f>
        <v>3814.9171352842832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2.7600603382744206E-3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2.8415786369345195E-5</v>
      </c>
      <c r="C5" s="438" t="s">
        <v>210</v>
      </c>
      <c r="D5" s="423">
        <f>SUM(D6:D11)</f>
        <v>6.6816717251577527E-5</v>
      </c>
      <c r="E5" s="423">
        <f>SUM(E6:E11)</f>
        <v>6.2563105736114445E-4</v>
      </c>
      <c r="F5" s="436" t="s">
        <v>210</v>
      </c>
      <c r="G5" s="423">
        <f>SUM(G6:G11)</f>
        <v>0.16574508515806596</v>
      </c>
      <c r="H5" s="423">
        <f>SUM(H6:H11)</f>
        <v>4.0044645799009626E-2</v>
      </c>
      <c r="I5" s="438" t="s">
        <v>210</v>
      </c>
      <c r="J5" s="438" t="s">
        <v>210</v>
      </c>
      <c r="K5" s="438" t="s">
        <v>210</v>
      </c>
      <c r="L5" s="438" t="s">
        <v>210</v>
      </c>
      <c r="M5" s="423">
        <f>SUM(M6:M11)</f>
        <v>1.0830904523713436E-2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1.4553613576664799E-5</v>
      </c>
      <c r="C6" s="424"/>
      <c r="D6" s="866">
        <f>vkm_GW_PW*SUMIFS(TableVerdeelsleutelVkm[CNG],TableVerdeelsleutelVkm[Voertuigtype],"Lichte voertuigen")*SUMIFS(TableECFTransport[EnergieConsumptieFactor (PJ per km)],TableECFTransport[Index],CONCATENATE($A6,"_CNG_CNG"))</f>
        <v>2.5395829926079056E-5</v>
      </c>
      <c r="E6" s="866">
        <f>vkm_GW_PW*SUMIFS(TableVerdeelsleutelVkm[LPG],TableVerdeelsleutelVkm[Voertuigtype],"Lichte voertuigen")*SUMIFS(TableECFTransport[EnergieConsumptieFactor (PJ per km)],TableECFTransport[Index],CONCATENATE($A6,"_LPG_LPG"))</f>
        <v>2.4597109671888913E-4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5.7807440137125618E-2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1.5552259898400539E-2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3.8258992961372165E-3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1.3654084614605311E-2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2.647961016374026E-7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7.9163295736716234E-4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1.3862172792680397E-5</v>
      </c>
      <c r="C8" s="424"/>
      <c r="D8" s="426">
        <f>vkm_NGW_PW*SUMIFS(TableVerdeelsleutelVkm[CNG],TableVerdeelsleutelVkm[Voertuigtype],"Lichte voertuigen")*SUMIFS(TableECFTransport[EnergieConsumptieFactor (PJ per km)],TableECFTransport[Index],CONCATENATE($A8,"_CNG_CNG"))</f>
        <v>4.1420887325498478E-5</v>
      </c>
      <c r="E8" s="426">
        <f>vkm_NGW_PW*SUMIFS(TableVerdeelsleutelVkm[LPG],TableVerdeelsleutelVkm[Voertuigtype],"Lichte voertuigen")*SUMIFS(TableECFTransport[EnergieConsumptieFactor (PJ per km)],TableECFTransport[Index],CONCATENATE($A8,"_LPG_LPG"))</f>
        <v>3.7965996064225538E-4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8.3753672152257777E-2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2.4491868157784844E-2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5.6028716681003187E-3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1.0529888254077257E-2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2.5294672261240897E-7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6.1050060210873856E-4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7.8932739914847758</v>
      </c>
      <c r="C14" s="21"/>
      <c r="D14" s="21">
        <f t="shared" ref="D14:M14" si="0">((D5)*10^9/3600)+D12</f>
        <v>18.560199236549312</v>
      </c>
      <c r="E14" s="21">
        <f t="shared" si="0"/>
        <v>173.78640482254013</v>
      </c>
      <c r="F14" s="21"/>
      <c r="G14" s="21">
        <f t="shared" si="0"/>
        <v>46040.301432796106</v>
      </c>
      <c r="H14" s="21">
        <f t="shared" si="0"/>
        <v>11123.51272194712</v>
      </c>
      <c r="I14" s="21"/>
      <c r="J14" s="21"/>
      <c r="K14" s="21"/>
      <c r="L14" s="21"/>
      <c r="M14" s="21">
        <f t="shared" si="0"/>
        <v>3008.5845899203987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0.17763923173947679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1.4021551277565492</v>
      </c>
      <c r="C18" s="23"/>
      <c r="D18" s="23">
        <f t="shared" ref="D18:M18" si="1">D14*D16</f>
        <v>3.7491602457829614</v>
      </c>
      <c r="E18" s="23">
        <f t="shared" si="1"/>
        <v>39.44951389471661</v>
      </c>
      <c r="F18" s="23"/>
      <c r="G18" s="23">
        <f t="shared" si="1"/>
        <v>12292.760482556561</v>
      </c>
      <c r="H18" s="23">
        <f t="shared" si="1"/>
        <v>2769.7546677648329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8.407797855497022E-3</v>
      </c>
      <c r="H50" s="319">
        <f t="shared" si="2"/>
        <v>0</v>
      </c>
      <c r="I50" s="319">
        <f t="shared" si="2"/>
        <v>0</v>
      </c>
      <c r="J50" s="319">
        <f t="shared" si="2"/>
        <v>0</v>
      </c>
      <c r="K50" s="319">
        <f t="shared" si="2"/>
        <v>0</v>
      </c>
      <c r="L50" s="319">
        <f t="shared" si="2"/>
        <v>0</v>
      </c>
      <c r="M50" s="319">
        <f t="shared" si="2"/>
        <v>4.805641345395452E-4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8.407797855497022E-3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4.805641345395452E-4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2335.4994043047282</v>
      </c>
      <c r="H54" s="21">
        <f t="shared" si="3"/>
        <v>0</v>
      </c>
      <c r="I54" s="21">
        <f t="shared" si="3"/>
        <v>0</v>
      </c>
      <c r="J54" s="21">
        <f t="shared" si="3"/>
        <v>0</v>
      </c>
      <c r="K54" s="21">
        <f t="shared" si="3"/>
        <v>0</v>
      </c>
      <c r="L54" s="21">
        <f t="shared" si="3"/>
        <v>0</v>
      </c>
      <c r="M54" s="21">
        <f t="shared" si="3"/>
        <v>133.49003737209588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0.17763923173947679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623.57834094936243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14409.187</v>
      </c>
      <c r="D10" s="991">
        <f ca="1">tertiair!C16</f>
        <v>60.75</v>
      </c>
      <c r="E10" s="991">
        <f ca="1">tertiair!D16</f>
        <v>7363.2132592689086</v>
      </c>
      <c r="F10" s="991">
        <f>tertiair!E16</f>
        <v>54.415789095169956</v>
      </c>
      <c r="G10" s="991">
        <f ca="1">tertiair!F16</f>
        <v>1464.1644603557188</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4.6900000000000004</v>
      </c>
      <c r="Q10" s="992">
        <f>tertiair!P16</f>
        <v>0</v>
      </c>
      <c r="R10" s="675">
        <f ca="1">SUM(C10:Q10)</f>
        <v>23356.420508719792</v>
      </c>
      <c r="S10" s="67"/>
    </row>
    <row r="11" spans="1:19" s="448" customFormat="1">
      <c r="A11" s="784" t="s">
        <v>224</v>
      </c>
      <c r="B11" s="789"/>
      <c r="C11" s="991">
        <f>huishoudens!B8</f>
        <v>18248.844685001859</v>
      </c>
      <c r="D11" s="991">
        <f>huishoudens!C8</f>
        <v>0</v>
      </c>
      <c r="E11" s="991">
        <f>huishoudens!D8</f>
        <v>23513.071296166268</v>
      </c>
      <c r="F11" s="991">
        <f>huishoudens!E8</f>
        <v>16174.407567292625</v>
      </c>
      <c r="G11" s="991">
        <f>huishoudens!F8</f>
        <v>31020.51509342698</v>
      </c>
      <c r="H11" s="991">
        <f>huishoudens!G8</f>
        <v>0</v>
      </c>
      <c r="I11" s="991">
        <f>huishoudens!H8</f>
        <v>0</v>
      </c>
      <c r="J11" s="991">
        <f>huishoudens!I8</f>
        <v>0</v>
      </c>
      <c r="K11" s="991">
        <f>huishoudens!J8</f>
        <v>92.6981255725251</v>
      </c>
      <c r="L11" s="991">
        <f>huishoudens!K8</f>
        <v>0</v>
      </c>
      <c r="M11" s="991">
        <f>huishoudens!L8</f>
        <v>0</v>
      </c>
      <c r="N11" s="991">
        <f>huishoudens!M8</f>
        <v>0</v>
      </c>
      <c r="O11" s="991">
        <f>huishoudens!N8</f>
        <v>7196.7760463643071</v>
      </c>
      <c r="P11" s="991">
        <f>huishoudens!O8</f>
        <v>151.64333333333335</v>
      </c>
      <c r="Q11" s="992">
        <f>huishoudens!P8</f>
        <v>381.33333333333337</v>
      </c>
      <c r="R11" s="675">
        <f>SUM(C11:Q11)</f>
        <v>96779.289480491221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1175.29315</v>
      </c>
      <c r="D13" s="991">
        <f>industrie!C18</f>
        <v>0</v>
      </c>
      <c r="E13" s="991">
        <f>industrie!D18</f>
        <v>606.53247415550697</v>
      </c>
      <c r="F13" s="991">
        <f>industrie!E18</f>
        <v>171.97160768165759</v>
      </c>
      <c r="G13" s="991">
        <f>industrie!F18</f>
        <v>846.05244901546519</v>
      </c>
      <c r="H13" s="991">
        <f>industrie!G18</f>
        <v>0</v>
      </c>
      <c r="I13" s="991">
        <f>industrie!H18</f>
        <v>0</v>
      </c>
      <c r="J13" s="991">
        <f>industrie!I18</f>
        <v>0</v>
      </c>
      <c r="K13" s="991">
        <f>industrie!J18</f>
        <v>5.8995462973578965</v>
      </c>
      <c r="L13" s="991">
        <f>industrie!K18</f>
        <v>0</v>
      </c>
      <c r="M13" s="991">
        <f>industrie!L18</f>
        <v>0</v>
      </c>
      <c r="N13" s="991">
        <f>industrie!M18</f>
        <v>0</v>
      </c>
      <c r="O13" s="991">
        <f>industrie!N18</f>
        <v>156.25947216480125</v>
      </c>
      <c r="P13" s="991">
        <f>industrie!O18</f>
        <v>0</v>
      </c>
      <c r="Q13" s="992">
        <f>industrie!P18</f>
        <v>0</v>
      </c>
      <c r="R13" s="675">
        <f>SUM(C13:Q13)</f>
        <v>2962.0086993147888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33833.324835001855</v>
      </c>
      <c r="D16" s="707">
        <f t="shared" ref="D16:R16" ca="1" si="0">SUM(D9:D15)</f>
        <v>60.75</v>
      </c>
      <c r="E16" s="707">
        <f t="shared" ca="1" si="0"/>
        <v>31482.817029590686</v>
      </c>
      <c r="F16" s="707">
        <f t="shared" si="0"/>
        <v>16400.794964069453</v>
      </c>
      <c r="G16" s="707">
        <f t="shared" ca="1" si="0"/>
        <v>33330.732002798162</v>
      </c>
      <c r="H16" s="707">
        <f t="shared" si="0"/>
        <v>0</v>
      </c>
      <c r="I16" s="707">
        <f t="shared" si="0"/>
        <v>0</v>
      </c>
      <c r="J16" s="707">
        <f t="shared" si="0"/>
        <v>0</v>
      </c>
      <c r="K16" s="707">
        <f t="shared" si="0"/>
        <v>98.597671869883001</v>
      </c>
      <c r="L16" s="707">
        <f t="shared" si="0"/>
        <v>0</v>
      </c>
      <c r="M16" s="707">
        <f t="shared" ca="1" si="0"/>
        <v>0</v>
      </c>
      <c r="N16" s="707">
        <f t="shared" si="0"/>
        <v>0</v>
      </c>
      <c r="O16" s="707">
        <f t="shared" ca="1" si="0"/>
        <v>7353.0355185291082</v>
      </c>
      <c r="P16" s="707">
        <f t="shared" si="0"/>
        <v>156.33333333333334</v>
      </c>
      <c r="Q16" s="707">
        <f t="shared" si="0"/>
        <v>381.33333333333337</v>
      </c>
      <c r="R16" s="707">
        <f t="shared" ca="1" si="0"/>
        <v>123097.7186885258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2335.4994043047282</v>
      </c>
      <c r="I19" s="991">
        <f>transport!H54</f>
        <v>0</v>
      </c>
      <c r="J19" s="991">
        <f>transport!I54</f>
        <v>0</v>
      </c>
      <c r="K19" s="991">
        <f>transport!J54</f>
        <v>0</v>
      </c>
      <c r="L19" s="991">
        <f>transport!K54</f>
        <v>0</v>
      </c>
      <c r="M19" s="991">
        <f>transport!L54</f>
        <v>0</v>
      </c>
      <c r="N19" s="991">
        <f>transport!M54</f>
        <v>133.49003737209588</v>
      </c>
      <c r="O19" s="991">
        <f>transport!N54</f>
        <v>0</v>
      </c>
      <c r="P19" s="991">
        <f>transport!O54</f>
        <v>0</v>
      </c>
      <c r="Q19" s="992">
        <f>transport!P54</f>
        <v>0</v>
      </c>
      <c r="R19" s="675">
        <f>SUM(C19:Q19)</f>
        <v>2468.9894416768238</v>
      </c>
      <c r="S19" s="67"/>
    </row>
    <row r="20" spans="1:19" s="448" customFormat="1">
      <c r="A20" s="784" t="s">
        <v>306</v>
      </c>
      <c r="B20" s="789"/>
      <c r="C20" s="991">
        <f>transport!B14</f>
        <v>7.8932739914847758</v>
      </c>
      <c r="D20" s="991">
        <f>transport!C14</f>
        <v>0</v>
      </c>
      <c r="E20" s="991">
        <f>transport!D14</f>
        <v>18.560199236549312</v>
      </c>
      <c r="F20" s="991">
        <f>transport!E14</f>
        <v>173.78640482254013</v>
      </c>
      <c r="G20" s="991">
        <f>transport!F14</f>
        <v>0</v>
      </c>
      <c r="H20" s="991">
        <f>transport!G14</f>
        <v>46040.301432796106</v>
      </c>
      <c r="I20" s="991">
        <f>transport!H14</f>
        <v>11123.51272194712</v>
      </c>
      <c r="J20" s="991">
        <f>transport!I14</f>
        <v>0</v>
      </c>
      <c r="K20" s="991">
        <f>transport!J14</f>
        <v>0</v>
      </c>
      <c r="L20" s="991">
        <f>transport!K14</f>
        <v>0</v>
      </c>
      <c r="M20" s="991">
        <f>transport!L14</f>
        <v>0</v>
      </c>
      <c r="N20" s="991">
        <f>transport!M14</f>
        <v>3008.5845899203987</v>
      </c>
      <c r="O20" s="991">
        <f>transport!N14</f>
        <v>0</v>
      </c>
      <c r="P20" s="991">
        <f>transport!O14</f>
        <v>0</v>
      </c>
      <c r="Q20" s="992">
        <f>transport!P14</f>
        <v>0</v>
      </c>
      <c r="R20" s="675">
        <f>SUM(C20:Q20)</f>
        <v>60372.638622714199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7.8932739914847758</v>
      </c>
      <c r="D22" s="787">
        <f t="shared" ref="D22:R22" si="1">SUM(D18:D21)</f>
        <v>0</v>
      </c>
      <c r="E22" s="787">
        <f t="shared" si="1"/>
        <v>18.560199236549312</v>
      </c>
      <c r="F22" s="787">
        <f t="shared" si="1"/>
        <v>173.78640482254013</v>
      </c>
      <c r="G22" s="787">
        <f t="shared" si="1"/>
        <v>0</v>
      </c>
      <c r="H22" s="787">
        <f t="shared" si="1"/>
        <v>48375.800837100833</v>
      </c>
      <c r="I22" s="787">
        <f t="shared" si="1"/>
        <v>11123.51272194712</v>
      </c>
      <c r="J22" s="787">
        <f t="shared" si="1"/>
        <v>0</v>
      </c>
      <c r="K22" s="787">
        <f t="shared" si="1"/>
        <v>0</v>
      </c>
      <c r="L22" s="787">
        <f t="shared" si="1"/>
        <v>0</v>
      </c>
      <c r="M22" s="787">
        <f t="shared" si="1"/>
        <v>0</v>
      </c>
      <c r="N22" s="787">
        <f t="shared" si="1"/>
        <v>3142.0746272924944</v>
      </c>
      <c r="O22" s="787">
        <f t="shared" si="1"/>
        <v>0</v>
      </c>
      <c r="P22" s="787">
        <f t="shared" si="1"/>
        <v>0</v>
      </c>
      <c r="Q22" s="787">
        <f t="shared" si="1"/>
        <v>0</v>
      </c>
      <c r="R22" s="787">
        <f t="shared" si="1"/>
        <v>62841.628064391021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434.67805400000003</v>
      </c>
      <c r="D24" s="991">
        <f>+landbouw!C8</f>
        <v>0</v>
      </c>
      <c r="E24" s="991">
        <f>+landbouw!D8</f>
        <v>65.875079186031385</v>
      </c>
      <c r="F24" s="991">
        <f>+landbouw!E8</f>
        <v>4.0261701960523109</v>
      </c>
      <c r="G24" s="991">
        <f>+landbouw!F8</f>
        <v>1102.8610290823096</v>
      </c>
      <c r="H24" s="991">
        <f>+landbouw!G8</f>
        <v>0</v>
      </c>
      <c r="I24" s="991">
        <f>+landbouw!H8</f>
        <v>0</v>
      </c>
      <c r="J24" s="991">
        <f>+landbouw!I8</f>
        <v>0</v>
      </c>
      <c r="K24" s="991">
        <f>+landbouw!J8</f>
        <v>66.640996699440805</v>
      </c>
      <c r="L24" s="991">
        <f>+landbouw!K8</f>
        <v>0</v>
      </c>
      <c r="M24" s="991">
        <f>+landbouw!L8</f>
        <v>0</v>
      </c>
      <c r="N24" s="991">
        <f>+landbouw!M8</f>
        <v>0</v>
      </c>
      <c r="O24" s="991">
        <f>+landbouw!N8</f>
        <v>0</v>
      </c>
      <c r="P24" s="991">
        <f>+landbouw!O8</f>
        <v>0</v>
      </c>
      <c r="Q24" s="992">
        <f>+landbouw!P8</f>
        <v>0</v>
      </c>
      <c r="R24" s="675">
        <f>SUM(C24:Q24)</f>
        <v>1674.0813291638342</v>
      </c>
      <c r="S24" s="67"/>
    </row>
    <row r="25" spans="1:19" s="448" customFormat="1" ht="15" thickBot="1">
      <c r="A25" s="806" t="s">
        <v>849</v>
      </c>
      <c r="B25" s="994"/>
      <c r="C25" s="995">
        <f>IF(Onbekend_ele_kWh="---",0,Onbekend_ele_kWh)/1000+IF(REST_rest_ele_kWh="---",0,REST_rest_ele_kWh)/1000</f>
        <v>622.25890000000004</v>
      </c>
      <c r="D25" s="995"/>
      <c r="E25" s="995">
        <f>IF(onbekend_gas_kWh="---",0,onbekend_gas_kWh)/1000+IF(REST_rest_gas_kWh="---",0,REST_rest_gas_kWh)/1000</f>
        <v>658.39583618146492</v>
      </c>
      <c r="F25" s="995"/>
      <c r="G25" s="995"/>
      <c r="H25" s="995"/>
      <c r="I25" s="995"/>
      <c r="J25" s="995"/>
      <c r="K25" s="995"/>
      <c r="L25" s="995"/>
      <c r="M25" s="995"/>
      <c r="N25" s="995"/>
      <c r="O25" s="995"/>
      <c r="P25" s="995"/>
      <c r="Q25" s="996"/>
      <c r="R25" s="675">
        <f>SUM(C25:Q25)</f>
        <v>1280.6547361814651</v>
      </c>
      <c r="S25" s="67"/>
    </row>
    <row r="26" spans="1:19" s="448" customFormat="1" ht="15.75" thickBot="1">
      <c r="A26" s="680" t="s">
        <v>850</v>
      </c>
      <c r="B26" s="792"/>
      <c r="C26" s="787">
        <f>SUM(C24:C25)</f>
        <v>1056.936954</v>
      </c>
      <c r="D26" s="787">
        <f t="shared" ref="D26:R26" si="2">SUM(D24:D25)</f>
        <v>0</v>
      </c>
      <c r="E26" s="787">
        <f t="shared" si="2"/>
        <v>724.27091536749629</v>
      </c>
      <c r="F26" s="787">
        <f t="shared" si="2"/>
        <v>4.0261701960523109</v>
      </c>
      <c r="G26" s="787">
        <f t="shared" si="2"/>
        <v>1102.8610290823096</v>
      </c>
      <c r="H26" s="787">
        <f t="shared" si="2"/>
        <v>0</v>
      </c>
      <c r="I26" s="787">
        <f t="shared" si="2"/>
        <v>0</v>
      </c>
      <c r="J26" s="787">
        <f t="shared" si="2"/>
        <v>0</v>
      </c>
      <c r="K26" s="787">
        <f t="shared" si="2"/>
        <v>66.640996699440805</v>
      </c>
      <c r="L26" s="787">
        <f t="shared" si="2"/>
        <v>0</v>
      </c>
      <c r="M26" s="787">
        <f t="shared" si="2"/>
        <v>0</v>
      </c>
      <c r="N26" s="787">
        <f t="shared" si="2"/>
        <v>0</v>
      </c>
      <c r="O26" s="787">
        <f t="shared" si="2"/>
        <v>0</v>
      </c>
      <c r="P26" s="787">
        <f t="shared" si="2"/>
        <v>0</v>
      </c>
      <c r="Q26" s="787">
        <f t="shared" si="2"/>
        <v>0</v>
      </c>
      <c r="R26" s="787">
        <f t="shared" si="2"/>
        <v>2954.7360653452993</v>
      </c>
      <c r="S26" s="67"/>
    </row>
    <row r="27" spans="1:19" s="448" customFormat="1" ht="17.25" thickTop="1" thickBot="1">
      <c r="A27" s="681" t="s">
        <v>115</v>
      </c>
      <c r="B27" s="780"/>
      <c r="C27" s="682">
        <f ca="1">C22+C16+C26</f>
        <v>34898.155062993334</v>
      </c>
      <c r="D27" s="682">
        <f t="shared" ref="D27:R27" ca="1" si="3">D22+D16+D26</f>
        <v>60.75</v>
      </c>
      <c r="E27" s="682">
        <f t="shared" ca="1" si="3"/>
        <v>32225.648144194729</v>
      </c>
      <c r="F27" s="682">
        <f t="shared" si="3"/>
        <v>16578.607539088047</v>
      </c>
      <c r="G27" s="682">
        <f t="shared" ca="1" si="3"/>
        <v>34433.593031880475</v>
      </c>
      <c r="H27" s="682">
        <f t="shared" si="3"/>
        <v>48375.800837100833</v>
      </c>
      <c r="I27" s="682">
        <f t="shared" si="3"/>
        <v>11123.51272194712</v>
      </c>
      <c r="J27" s="682">
        <f t="shared" si="3"/>
        <v>0</v>
      </c>
      <c r="K27" s="682">
        <f t="shared" si="3"/>
        <v>165.23866856932381</v>
      </c>
      <c r="L27" s="682">
        <f t="shared" si="3"/>
        <v>0</v>
      </c>
      <c r="M27" s="682">
        <f t="shared" ca="1" si="3"/>
        <v>0</v>
      </c>
      <c r="N27" s="682">
        <f t="shared" si="3"/>
        <v>3142.0746272924944</v>
      </c>
      <c r="O27" s="682">
        <f t="shared" ca="1" si="3"/>
        <v>7353.0355185291082</v>
      </c>
      <c r="P27" s="682">
        <f t="shared" si="3"/>
        <v>156.33333333333334</v>
      </c>
      <c r="Q27" s="682">
        <f t="shared" si="3"/>
        <v>381.33333333333337</v>
      </c>
      <c r="R27" s="682">
        <f t="shared" ca="1" si="3"/>
        <v>188894.0828182621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2559.6369086704563</v>
      </c>
      <c r="D40" s="991">
        <f ca="1">tertiair!C20</f>
        <v>0</v>
      </c>
      <c r="E40" s="991">
        <f ca="1">tertiair!D20</f>
        <v>1487.3690783723196</v>
      </c>
      <c r="F40" s="991">
        <f>tertiair!E20</f>
        <v>12.35238412460358</v>
      </c>
      <c r="G40" s="991">
        <f ca="1">tertiair!F20</f>
        <v>390.93191091497692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4450.2902820823565</v>
      </c>
    </row>
    <row r="41" spans="1:18">
      <c r="A41" s="797" t="s">
        <v>224</v>
      </c>
      <c r="B41" s="804"/>
      <c r="C41" s="991">
        <f ca="1">huishoudens!B12</f>
        <v>3241.7107499767644</v>
      </c>
      <c r="D41" s="991">
        <f ca="1">huishoudens!C12</f>
        <v>0</v>
      </c>
      <c r="E41" s="991">
        <f>huishoudens!D12</f>
        <v>4749.6404018255862</v>
      </c>
      <c r="F41" s="991">
        <f>huishoudens!E12</f>
        <v>3671.5905177754257</v>
      </c>
      <c r="G41" s="991">
        <f>huishoudens!F12</f>
        <v>8282.4775299450048</v>
      </c>
      <c r="H41" s="991">
        <f>huishoudens!G12</f>
        <v>0</v>
      </c>
      <c r="I41" s="991">
        <f>huishoudens!H12</f>
        <v>0</v>
      </c>
      <c r="J41" s="991">
        <f>huishoudens!I12</f>
        <v>0</v>
      </c>
      <c r="K41" s="991">
        <f>huishoudens!J12</f>
        <v>32.815136452673883</v>
      </c>
      <c r="L41" s="991">
        <f>huishoudens!K12</f>
        <v>0</v>
      </c>
      <c r="M41" s="991">
        <f>huishoudens!L12</f>
        <v>0</v>
      </c>
      <c r="N41" s="991">
        <f>huishoudens!M12</f>
        <v>0</v>
      </c>
      <c r="O41" s="991">
        <f>huishoudens!N12</f>
        <v>0</v>
      </c>
      <c r="P41" s="991">
        <f>huishoudens!O12</f>
        <v>0</v>
      </c>
      <c r="Q41" s="749">
        <f>huishoudens!P12</f>
        <v>0</v>
      </c>
      <c r="R41" s="825">
        <f t="shared" ca="1" si="4"/>
        <v>19978.234335975456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208.77817223466965</v>
      </c>
      <c r="D43" s="991">
        <f ca="1">industrie!C22</f>
        <v>0</v>
      </c>
      <c r="E43" s="991">
        <f>industrie!D22</f>
        <v>122.51955977941242</v>
      </c>
      <c r="F43" s="991">
        <f>industrie!E22</f>
        <v>39.037554943736275</v>
      </c>
      <c r="G43" s="991">
        <f>industrie!F22</f>
        <v>225.89600388712921</v>
      </c>
      <c r="H43" s="991">
        <f>industrie!G22</f>
        <v>0</v>
      </c>
      <c r="I43" s="991">
        <f>industrie!H22</f>
        <v>0</v>
      </c>
      <c r="J43" s="991">
        <f>industrie!I22</f>
        <v>0</v>
      </c>
      <c r="K43" s="991">
        <f>industrie!J22</f>
        <v>2.0884393892646953</v>
      </c>
      <c r="L43" s="991">
        <f>industrie!K22</f>
        <v>0</v>
      </c>
      <c r="M43" s="991">
        <f>industrie!L22</f>
        <v>0</v>
      </c>
      <c r="N43" s="991">
        <f>industrie!M22</f>
        <v>0</v>
      </c>
      <c r="O43" s="991">
        <f>industrie!N22</f>
        <v>0</v>
      </c>
      <c r="P43" s="991">
        <f>industrie!O22</f>
        <v>0</v>
      </c>
      <c r="Q43" s="749">
        <f>industrie!P22</f>
        <v>0</v>
      </c>
      <c r="R43" s="824">
        <f t="shared" ca="1" si="4"/>
        <v>598.31973023421233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6010.1258308818906</v>
      </c>
      <c r="D46" s="707">
        <f t="shared" ref="D46:Q46" ca="1" si="5">SUM(D39:D45)</f>
        <v>0</v>
      </c>
      <c r="E46" s="707">
        <f t="shared" ca="1" si="5"/>
        <v>6359.5290399773185</v>
      </c>
      <c r="F46" s="707">
        <f t="shared" si="5"/>
        <v>3722.9804568437658</v>
      </c>
      <c r="G46" s="707">
        <f t="shared" ca="1" si="5"/>
        <v>8899.3054447471113</v>
      </c>
      <c r="H46" s="707">
        <f t="shared" si="5"/>
        <v>0</v>
      </c>
      <c r="I46" s="707">
        <f t="shared" si="5"/>
        <v>0</v>
      </c>
      <c r="J46" s="707">
        <f t="shared" si="5"/>
        <v>0</v>
      </c>
      <c r="K46" s="707">
        <f t="shared" si="5"/>
        <v>34.903575841938576</v>
      </c>
      <c r="L46" s="707">
        <f t="shared" si="5"/>
        <v>0</v>
      </c>
      <c r="M46" s="707">
        <f t="shared" ca="1" si="5"/>
        <v>0</v>
      </c>
      <c r="N46" s="707">
        <f t="shared" si="5"/>
        <v>0</v>
      </c>
      <c r="O46" s="707">
        <f t="shared" ca="1" si="5"/>
        <v>0</v>
      </c>
      <c r="P46" s="707">
        <f t="shared" si="5"/>
        <v>0</v>
      </c>
      <c r="Q46" s="707">
        <f t="shared" si="5"/>
        <v>0</v>
      </c>
      <c r="R46" s="707">
        <f ca="1">SUM(R39:R45)</f>
        <v>25026.844348292023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623.57834094936243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623.57834094936243</v>
      </c>
    </row>
    <row r="50" spans="1:18">
      <c r="A50" s="800" t="s">
        <v>306</v>
      </c>
      <c r="B50" s="810"/>
      <c r="C50" s="678">
        <f ca="1">transport!B18</f>
        <v>1.4021551277565492</v>
      </c>
      <c r="D50" s="678">
        <f>transport!C18</f>
        <v>0</v>
      </c>
      <c r="E50" s="678">
        <f>transport!D18</f>
        <v>3.7491602457829614</v>
      </c>
      <c r="F50" s="678">
        <f>transport!E18</f>
        <v>39.44951389471661</v>
      </c>
      <c r="G50" s="678">
        <f>transport!F18</f>
        <v>0</v>
      </c>
      <c r="H50" s="678">
        <f>transport!G18</f>
        <v>12292.760482556561</v>
      </c>
      <c r="I50" s="678">
        <f>transport!H18</f>
        <v>2769.7546677648329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15107.115979589651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1.4021551277565492</v>
      </c>
      <c r="D52" s="707">
        <f t="shared" ref="D52:Q52" ca="1" si="6">SUM(D48:D51)</f>
        <v>0</v>
      </c>
      <c r="E52" s="707">
        <f t="shared" si="6"/>
        <v>3.7491602457829614</v>
      </c>
      <c r="F52" s="707">
        <f t="shared" si="6"/>
        <v>39.44951389471661</v>
      </c>
      <c r="G52" s="707">
        <f t="shared" si="6"/>
        <v>0</v>
      </c>
      <c r="H52" s="707">
        <f t="shared" si="6"/>
        <v>12916.338823505925</v>
      </c>
      <c r="I52" s="707">
        <f t="shared" si="6"/>
        <v>2769.7546677648329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15730.694320539013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77.215875566570816</v>
      </c>
      <c r="D54" s="678">
        <f ca="1">+landbouw!C12</f>
        <v>0</v>
      </c>
      <c r="E54" s="678">
        <f>+landbouw!D12</f>
        <v>13.30676599557834</v>
      </c>
      <c r="F54" s="678">
        <f>+landbouw!E12</f>
        <v>0.91394063450387464</v>
      </c>
      <c r="G54" s="678">
        <f>+landbouw!F12</f>
        <v>294.46389476497671</v>
      </c>
      <c r="H54" s="678">
        <f>+landbouw!G12</f>
        <v>0</v>
      </c>
      <c r="I54" s="678">
        <f>+landbouw!H12</f>
        <v>0</v>
      </c>
      <c r="J54" s="678">
        <f>+landbouw!I12</f>
        <v>0</v>
      </c>
      <c r="K54" s="678">
        <f>+landbouw!J12</f>
        <v>23.590912831602044</v>
      </c>
      <c r="L54" s="678">
        <f>+landbouw!K12</f>
        <v>0</v>
      </c>
      <c r="M54" s="678">
        <f>+landbouw!L12</f>
        <v>0</v>
      </c>
      <c r="N54" s="678">
        <f>+landbouw!M12</f>
        <v>0</v>
      </c>
      <c r="O54" s="678">
        <f>+landbouw!N12</f>
        <v>0</v>
      </c>
      <c r="P54" s="678">
        <f>+landbouw!O12</f>
        <v>0</v>
      </c>
      <c r="Q54" s="679">
        <f>+landbouw!P12</f>
        <v>0</v>
      </c>
      <c r="R54" s="706">
        <f ca="1">SUM(C54:Q54)</f>
        <v>409.4913897932318</v>
      </c>
    </row>
    <row r="55" spans="1:18" ht="15" thickBot="1">
      <c r="A55" s="800" t="s">
        <v>849</v>
      </c>
      <c r="B55" s="810"/>
      <c r="C55" s="678">
        <f ca="1">C25*'EF ele_warmte'!B12</f>
        <v>110.53759293905192</v>
      </c>
      <c r="D55" s="678"/>
      <c r="E55" s="678">
        <f>E25*EF_CO2_aardgas</f>
        <v>132.99595890865592</v>
      </c>
      <c r="F55" s="678"/>
      <c r="G55" s="678"/>
      <c r="H55" s="678"/>
      <c r="I55" s="678"/>
      <c r="J55" s="678"/>
      <c r="K55" s="678"/>
      <c r="L55" s="678"/>
      <c r="M55" s="678"/>
      <c r="N55" s="678"/>
      <c r="O55" s="678"/>
      <c r="P55" s="678"/>
      <c r="Q55" s="679"/>
      <c r="R55" s="706">
        <f ca="1">SUM(C55:Q55)</f>
        <v>243.53355184770783</v>
      </c>
    </row>
    <row r="56" spans="1:18" ht="15.75" thickBot="1">
      <c r="A56" s="798" t="s">
        <v>850</v>
      </c>
      <c r="B56" s="811"/>
      <c r="C56" s="707">
        <f ca="1">SUM(C54:C55)</f>
        <v>187.75346850562272</v>
      </c>
      <c r="D56" s="707">
        <f t="shared" ref="D56:Q56" ca="1" si="7">SUM(D54:D55)</f>
        <v>0</v>
      </c>
      <c r="E56" s="707">
        <f t="shared" si="7"/>
        <v>146.30272490423425</v>
      </c>
      <c r="F56" s="707">
        <f t="shared" si="7"/>
        <v>0.91394063450387464</v>
      </c>
      <c r="G56" s="707">
        <f t="shared" si="7"/>
        <v>294.46389476497671</v>
      </c>
      <c r="H56" s="707">
        <f t="shared" si="7"/>
        <v>0</v>
      </c>
      <c r="I56" s="707">
        <f t="shared" si="7"/>
        <v>0</v>
      </c>
      <c r="J56" s="707">
        <f t="shared" si="7"/>
        <v>0</v>
      </c>
      <c r="K56" s="707">
        <f t="shared" si="7"/>
        <v>23.590912831602044</v>
      </c>
      <c r="L56" s="707">
        <f t="shared" si="7"/>
        <v>0</v>
      </c>
      <c r="M56" s="707">
        <f t="shared" si="7"/>
        <v>0</v>
      </c>
      <c r="N56" s="707">
        <f t="shared" si="7"/>
        <v>0</v>
      </c>
      <c r="O56" s="707">
        <f t="shared" si="7"/>
        <v>0</v>
      </c>
      <c r="P56" s="707">
        <f t="shared" si="7"/>
        <v>0</v>
      </c>
      <c r="Q56" s="708">
        <f t="shared" si="7"/>
        <v>0</v>
      </c>
      <c r="R56" s="709">
        <f ca="1">SUM(R54:R55)</f>
        <v>653.02494164093969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6199.2814545152696</v>
      </c>
      <c r="D61" s="715">
        <f t="shared" ref="D61:Q61" ca="1" si="8">D46+D52+D56</f>
        <v>0</v>
      </c>
      <c r="E61" s="715">
        <f t="shared" ca="1" si="8"/>
        <v>6509.5809251273358</v>
      </c>
      <c r="F61" s="715">
        <f t="shared" si="8"/>
        <v>3763.3439113729864</v>
      </c>
      <c r="G61" s="715">
        <f t="shared" ca="1" si="8"/>
        <v>9193.7693395120878</v>
      </c>
      <c r="H61" s="715">
        <f t="shared" si="8"/>
        <v>12916.338823505925</v>
      </c>
      <c r="I61" s="715">
        <f t="shared" si="8"/>
        <v>2769.7546677648329</v>
      </c>
      <c r="J61" s="715">
        <f t="shared" si="8"/>
        <v>0</v>
      </c>
      <c r="K61" s="715">
        <f t="shared" si="8"/>
        <v>58.494488673540616</v>
      </c>
      <c r="L61" s="715">
        <f t="shared" si="8"/>
        <v>0</v>
      </c>
      <c r="M61" s="715">
        <f t="shared" ca="1" si="8"/>
        <v>0</v>
      </c>
      <c r="N61" s="715">
        <f t="shared" si="8"/>
        <v>0</v>
      </c>
      <c r="O61" s="715">
        <f t="shared" ca="1" si="8"/>
        <v>0</v>
      </c>
      <c r="P61" s="715">
        <f t="shared" si="8"/>
        <v>0</v>
      </c>
      <c r="Q61" s="715">
        <f t="shared" si="8"/>
        <v>0</v>
      </c>
      <c r="R61" s="715">
        <f ca="1">R46+R52+R56</f>
        <v>41410.563610471982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0.17763923173947685</v>
      </c>
      <c r="D63" s="756">
        <f t="shared" ca="1" si="9"/>
        <v>0</v>
      </c>
      <c r="E63" s="1002">
        <f t="shared" ca="1" si="9"/>
        <v>0.20200000000000001</v>
      </c>
      <c r="F63" s="756">
        <f t="shared" si="9"/>
        <v>0.22699999999999998</v>
      </c>
      <c r="G63" s="756">
        <f t="shared" ca="1" si="9"/>
        <v>0.26700000000000002</v>
      </c>
      <c r="H63" s="756">
        <f t="shared" si="9"/>
        <v>0.26700000000000007</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1928.6077574943854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54</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63.529411764705884</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4864.5</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13898.571428571429</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6847.1077574943856</v>
      </c>
      <c r="C78" s="730">
        <f>SUM(C72:C77)</f>
        <v>0</v>
      </c>
      <c r="D78" s="731">
        <f t="shared" ref="D78:H78" si="10">SUM(D76:D77)</f>
        <v>0</v>
      </c>
      <c r="E78" s="731">
        <f t="shared" si="10"/>
        <v>0</v>
      </c>
      <c r="F78" s="731">
        <f t="shared" si="10"/>
        <v>0</v>
      </c>
      <c r="G78" s="731">
        <f t="shared" si="10"/>
        <v>0</v>
      </c>
      <c r="H78" s="731">
        <f t="shared" si="10"/>
        <v>0</v>
      </c>
      <c r="I78" s="731">
        <f>SUM(I76:I77)</f>
        <v>63.529411764705884</v>
      </c>
      <c r="J78" s="731">
        <f>SUM(J76:J77)</f>
        <v>13898.571428571429</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60.75</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71.470588235294116</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60.75</v>
      </c>
      <c r="C90" s="730">
        <f>SUM(C87:C89)</f>
        <v>0</v>
      </c>
      <c r="D90" s="730">
        <f t="shared" ref="D90:H90" si="12">SUM(D87:D89)</f>
        <v>0</v>
      </c>
      <c r="E90" s="730">
        <f t="shared" si="12"/>
        <v>0</v>
      </c>
      <c r="F90" s="730">
        <f t="shared" si="12"/>
        <v>0</v>
      </c>
      <c r="G90" s="730">
        <f t="shared" si="12"/>
        <v>0</v>
      </c>
      <c r="H90" s="730">
        <f t="shared" si="12"/>
        <v>0</v>
      </c>
      <c r="I90" s="730">
        <f>SUM(I87:I89)</f>
        <v>71.470588235294116</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1928.6077574943854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54</v>
      </c>
      <c r="C8" s="545">
        <f>B48</f>
        <v>0</v>
      </c>
      <c r="D8" s="1022"/>
      <c r="E8" s="1022">
        <f>E48</f>
        <v>0</v>
      </c>
      <c r="F8" s="1023"/>
      <c r="G8" s="546"/>
      <c r="H8" s="1022">
        <f>I48</f>
        <v>0</v>
      </c>
      <c r="I8" s="1022">
        <f>G48+F48</f>
        <v>63.529411764705884</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4864.5</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6847.1077574943856</v>
      </c>
      <c r="C10" s="558">
        <f t="shared" ref="C10:L10" si="0">SUM(C8:C9)</f>
        <v>0</v>
      </c>
      <c r="D10" s="558">
        <f t="shared" si="0"/>
        <v>0</v>
      </c>
      <c r="E10" s="558">
        <f t="shared" si="0"/>
        <v>0</v>
      </c>
      <c r="F10" s="558">
        <f t="shared" si="0"/>
        <v>0</v>
      </c>
      <c r="G10" s="558">
        <f t="shared" si="0"/>
        <v>0</v>
      </c>
      <c r="H10" s="558">
        <f t="shared" si="0"/>
        <v>0</v>
      </c>
      <c r="I10" s="558">
        <f t="shared" si="0"/>
        <v>63.529411764705884</v>
      </c>
      <c r="J10" s="558">
        <f t="shared" si="0"/>
        <v>13898.571428571429</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60.75</v>
      </c>
      <c r="C17" s="570">
        <f>B49</f>
        <v>0</v>
      </c>
      <c r="D17" s="571"/>
      <c r="E17" s="571">
        <f>E49</f>
        <v>0</v>
      </c>
      <c r="F17" s="1028"/>
      <c r="G17" s="572"/>
      <c r="H17" s="570">
        <f>I49</f>
        <v>0</v>
      </c>
      <c r="I17" s="571">
        <f>G49+F49</f>
        <v>71.470588235294116</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60.75</v>
      </c>
      <c r="C20" s="557">
        <f>SUM(C17:C19)</f>
        <v>0</v>
      </c>
      <c r="D20" s="557">
        <f t="shared" ref="D20:L20" si="1">SUM(D17:D19)</f>
        <v>0</v>
      </c>
      <c r="E20" s="557">
        <f t="shared" si="1"/>
        <v>0</v>
      </c>
      <c r="F20" s="557">
        <f t="shared" si="1"/>
        <v>0</v>
      </c>
      <c r="G20" s="557">
        <f t="shared" si="1"/>
        <v>0</v>
      </c>
      <c r="H20" s="557">
        <f t="shared" si="1"/>
        <v>0</v>
      </c>
      <c r="I20" s="557">
        <f t="shared" si="1"/>
        <v>71.470588235294116</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24045</v>
      </c>
      <c r="C28" s="771">
        <v>3040</v>
      </c>
      <c r="D28" s="628" t="s">
        <v>913</v>
      </c>
      <c r="E28" s="627" t="s">
        <v>914</v>
      </c>
      <c r="F28" s="627" t="s">
        <v>915</v>
      </c>
      <c r="G28" s="627" t="s">
        <v>916</v>
      </c>
      <c r="H28" s="627" t="s">
        <v>917</v>
      </c>
      <c r="I28" s="627" t="s">
        <v>914</v>
      </c>
      <c r="J28" s="770">
        <v>40026</v>
      </c>
      <c r="K28" s="770">
        <v>40891</v>
      </c>
      <c r="L28" s="627" t="s">
        <v>918</v>
      </c>
      <c r="M28" s="627">
        <v>12</v>
      </c>
      <c r="N28" s="627">
        <v>54</v>
      </c>
      <c r="O28" s="627">
        <v>60.75</v>
      </c>
      <c r="P28" s="627">
        <v>0</v>
      </c>
      <c r="Q28" s="627">
        <v>0</v>
      </c>
      <c r="R28" s="627">
        <v>0</v>
      </c>
      <c r="S28" s="627">
        <v>0</v>
      </c>
      <c r="T28" s="627">
        <v>0</v>
      </c>
      <c r="U28" s="627">
        <v>135</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12</v>
      </c>
      <c r="N29" s="585">
        <f>SUM(N28:N28)</f>
        <v>54</v>
      </c>
      <c r="O29" s="585">
        <f>SUM(O28:O28)</f>
        <v>60.75</v>
      </c>
      <c r="P29" s="585">
        <f>SUM(P28:P28)</f>
        <v>0</v>
      </c>
      <c r="Q29" s="585">
        <f>SUM(Q28:Q28)</f>
        <v>0</v>
      </c>
      <c r="R29" s="585">
        <f>SUM(R28:R28)</f>
        <v>0</v>
      </c>
      <c r="S29" s="585">
        <f>SUM(S28:S28)</f>
        <v>0</v>
      </c>
      <c r="T29" s="585">
        <f>SUM(T28:T28)</f>
        <v>0</v>
      </c>
      <c r="U29" s="585">
        <f>SUM(U28:U28)</f>
        <v>135</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12</v>
      </c>
      <c r="N31" s="585">
        <f ca="1">SUMIF($Z$28:AD28,"tertiair",N28:N28)</f>
        <v>54</v>
      </c>
      <c r="O31" s="585">
        <f ca="1">SUMIF($Z$28:AE28,"tertiair",O28:O28)</f>
        <v>60.75</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135</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63.75">
      <c r="A35" s="582"/>
      <c r="B35" s="771">
        <v>24045</v>
      </c>
      <c r="C35" s="771">
        <v>3040</v>
      </c>
      <c r="D35" s="630" t="s">
        <v>919</v>
      </c>
      <c r="E35" s="630" t="s">
        <v>920</v>
      </c>
      <c r="F35" s="630" t="s">
        <v>921</v>
      </c>
      <c r="G35" s="630" t="s">
        <v>922</v>
      </c>
      <c r="H35" s="630" t="s">
        <v>923</v>
      </c>
      <c r="I35" s="630" t="s">
        <v>924</v>
      </c>
      <c r="J35" s="770">
        <v>37659</v>
      </c>
      <c r="K35" s="770">
        <v>37712</v>
      </c>
      <c r="L35" s="630" t="s">
        <v>925</v>
      </c>
      <c r="M35" s="630">
        <v>1081</v>
      </c>
      <c r="N35" s="630">
        <v>4864.5</v>
      </c>
      <c r="O35" s="630">
        <v>0</v>
      </c>
      <c r="P35" s="630">
        <v>0</v>
      </c>
      <c r="Q35" s="630">
        <v>0</v>
      </c>
      <c r="R35" s="630">
        <v>13898.571428571429</v>
      </c>
      <c r="S35" s="630">
        <v>0</v>
      </c>
      <c r="T35" s="630">
        <v>0</v>
      </c>
      <c r="U35" s="630">
        <v>0</v>
      </c>
      <c r="V35" s="630">
        <v>0</v>
      </c>
      <c r="W35" s="630">
        <v>0</v>
      </c>
      <c r="X35" s="630">
        <v>1600</v>
      </c>
      <c r="Y35" s="630" t="s">
        <v>49</v>
      </c>
      <c r="Z35" s="631" t="s">
        <v>155</v>
      </c>
    </row>
    <row r="36" spans="1:27" s="565" customFormat="1">
      <c r="A36" s="583" t="s">
        <v>279</v>
      </c>
      <c r="B36" s="584"/>
      <c r="C36" s="584"/>
      <c r="D36" s="584"/>
      <c r="E36" s="584"/>
      <c r="F36" s="584"/>
      <c r="G36" s="584"/>
      <c r="H36" s="584"/>
      <c r="I36" s="584"/>
      <c r="J36" s="584"/>
      <c r="K36" s="584"/>
      <c r="L36" s="585"/>
      <c r="M36" s="585">
        <f>SUM(M35:M35)</f>
        <v>1081</v>
      </c>
      <c r="N36" s="585">
        <f>SUM(N35:N35)</f>
        <v>4864.5</v>
      </c>
      <c r="O36" s="585">
        <f>SUM(O35:O35)</f>
        <v>0</v>
      </c>
      <c r="P36" s="585">
        <f>SUM(P35:P35)</f>
        <v>0</v>
      </c>
      <c r="Q36" s="585">
        <f>SUM(Q35:Q35)</f>
        <v>0</v>
      </c>
      <c r="R36" s="585">
        <f>SUM(R35:R35)</f>
        <v>13898.571428571429</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1081</v>
      </c>
      <c r="N38" s="585">
        <f>SUMIF($Z$35:$Z$36,"tertiair",N35:N36)</f>
        <v>4864.5</v>
      </c>
      <c r="O38" s="585">
        <f>SUMIF($Z$35:$Z$36,"tertiair",O35:O36)</f>
        <v>0</v>
      </c>
      <c r="P38" s="585">
        <f>SUMIF($Z$35:$Z$36,"tertiair",P35:P36)</f>
        <v>0</v>
      </c>
      <c r="Q38" s="585">
        <f>SUMIF($Z$35:$Z$36,"tertiair",Q35:Q36)</f>
        <v>0</v>
      </c>
      <c r="R38" s="585">
        <f>SUMIF($Z$35:$Z$36,"tertiair",R35:R36)</f>
        <v>13898.571428571429</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0.52941176470588236</v>
      </c>
      <c r="C45" s="610">
        <f>IF(ISERROR(N29/(O29+N29)),0,N29/(N29+O29))</f>
        <v>0.47058823529411764</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63.529411764705884</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71.470588235294116</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18248.844685001859</v>
      </c>
      <c r="C4" s="452">
        <f>huishoudens!C8</f>
        <v>0</v>
      </c>
      <c r="D4" s="452">
        <f>huishoudens!D8</f>
        <v>23513.071296166268</v>
      </c>
      <c r="E4" s="452">
        <f>huishoudens!E8</f>
        <v>16174.407567292625</v>
      </c>
      <c r="F4" s="452">
        <f>huishoudens!F8</f>
        <v>31020.51509342698</v>
      </c>
      <c r="G4" s="452">
        <f>huishoudens!G8</f>
        <v>0</v>
      </c>
      <c r="H4" s="452">
        <f>huishoudens!H8</f>
        <v>0</v>
      </c>
      <c r="I4" s="452">
        <f>huishoudens!I8</f>
        <v>0</v>
      </c>
      <c r="J4" s="452">
        <f>huishoudens!J8</f>
        <v>92.6981255725251</v>
      </c>
      <c r="K4" s="452">
        <f>huishoudens!K8</f>
        <v>0</v>
      </c>
      <c r="L4" s="452">
        <f>huishoudens!L8</f>
        <v>0</v>
      </c>
      <c r="M4" s="452">
        <f>huishoudens!M8</f>
        <v>0</v>
      </c>
      <c r="N4" s="452">
        <f>huishoudens!N8</f>
        <v>7196.7760463643071</v>
      </c>
      <c r="O4" s="452">
        <f>huishoudens!O8</f>
        <v>151.64333333333335</v>
      </c>
      <c r="P4" s="453">
        <f>huishoudens!P8</f>
        <v>381.33333333333337</v>
      </c>
      <c r="Q4" s="454">
        <f>SUM(B4:P4)</f>
        <v>96779.289480491221</v>
      </c>
    </row>
    <row r="5" spans="1:17">
      <c r="A5" s="451" t="s">
        <v>155</v>
      </c>
      <c r="B5" s="452">
        <f ca="1">tertiair!B16</f>
        <v>13702.074000000001</v>
      </c>
      <c r="C5" s="452">
        <f ca="1">tertiair!C16</f>
        <v>60.75</v>
      </c>
      <c r="D5" s="452">
        <f ca="1">tertiair!D16</f>
        <v>7363.2132592689086</v>
      </c>
      <c r="E5" s="452">
        <f>tertiair!E16</f>
        <v>54.415789095169956</v>
      </c>
      <c r="F5" s="452">
        <f ca="1">tertiair!F16</f>
        <v>1464.1644603557188</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4.6900000000000004</v>
      </c>
      <c r="P5" s="453">
        <f>tertiair!P16</f>
        <v>0</v>
      </c>
      <c r="Q5" s="451">
        <f t="shared" ref="Q5:Q14" ca="1" si="0">SUM(B5:P5)</f>
        <v>22649.307508719794</v>
      </c>
    </row>
    <row r="6" spans="1:17">
      <c r="A6" s="451" t="s">
        <v>193</v>
      </c>
      <c r="B6" s="452">
        <f>'openbare verlichting'!B8</f>
        <v>707.11300000000006</v>
      </c>
      <c r="C6" s="452"/>
      <c r="D6" s="452"/>
      <c r="E6" s="452"/>
      <c r="F6" s="452"/>
      <c r="G6" s="452"/>
      <c r="H6" s="452"/>
      <c r="I6" s="452"/>
      <c r="J6" s="452"/>
      <c r="K6" s="452"/>
      <c r="L6" s="452"/>
      <c r="M6" s="452"/>
      <c r="N6" s="452"/>
      <c r="O6" s="452"/>
      <c r="P6" s="453"/>
      <c r="Q6" s="451">
        <f t="shared" si="0"/>
        <v>707.11300000000006</v>
      </c>
    </row>
    <row r="7" spans="1:17">
      <c r="A7" s="451" t="s">
        <v>111</v>
      </c>
      <c r="B7" s="452">
        <f>landbouw!B8</f>
        <v>434.67805400000003</v>
      </c>
      <c r="C7" s="452">
        <f>landbouw!C8</f>
        <v>0</v>
      </c>
      <c r="D7" s="452">
        <f>landbouw!D8</f>
        <v>65.875079186031385</v>
      </c>
      <c r="E7" s="452">
        <f>landbouw!E8</f>
        <v>4.0261701960523109</v>
      </c>
      <c r="F7" s="452">
        <f>landbouw!F8</f>
        <v>1102.8610290823096</v>
      </c>
      <c r="G7" s="452">
        <f>landbouw!G8</f>
        <v>0</v>
      </c>
      <c r="H7" s="452">
        <f>landbouw!H8</f>
        <v>0</v>
      </c>
      <c r="I7" s="452">
        <f>landbouw!I8</f>
        <v>0</v>
      </c>
      <c r="J7" s="452">
        <f>landbouw!J8</f>
        <v>66.640996699440805</v>
      </c>
      <c r="K7" s="452">
        <f>landbouw!K8</f>
        <v>0</v>
      </c>
      <c r="L7" s="452">
        <f>landbouw!L8</f>
        <v>0</v>
      </c>
      <c r="M7" s="452">
        <f>landbouw!M8</f>
        <v>0</v>
      </c>
      <c r="N7" s="452">
        <f>landbouw!N8</f>
        <v>0</v>
      </c>
      <c r="O7" s="452">
        <f>landbouw!O8</f>
        <v>0</v>
      </c>
      <c r="P7" s="453">
        <f>landbouw!P8</f>
        <v>0</v>
      </c>
      <c r="Q7" s="451">
        <f t="shared" si="0"/>
        <v>1674.0813291638342</v>
      </c>
    </row>
    <row r="8" spans="1:17">
      <c r="A8" s="451" t="s">
        <v>649</v>
      </c>
      <c r="B8" s="452">
        <f>industrie!B18</f>
        <v>1175.29315</v>
      </c>
      <c r="C8" s="452">
        <f>industrie!C18</f>
        <v>0</v>
      </c>
      <c r="D8" s="452">
        <f>industrie!D18</f>
        <v>606.53247415550697</v>
      </c>
      <c r="E8" s="452">
        <f>industrie!E18</f>
        <v>171.97160768165759</v>
      </c>
      <c r="F8" s="452">
        <f>industrie!F18</f>
        <v>846.05244901546519</v>
      </c>
      <c r="G8" s="452">
        <f>industrie!G18</f>
        <v>0</v>
      </c>
      <c r="H8" s="452">
        <f>industrie!H18</f>
        <v>0</v>
      </c>
      <c r="I8" s="452">
        <f>industrie!I18</f>
        <v>0</v>
      </c>
      <c r="J8" s="452">
        <f>industrie!J18</f>
        <v>5.8995462973578965</v>
      </c>
      <c r="K8" s="452">
        <f>industrie!K18</f>
        <v>0</v>
      </c>
      <c r="L8" s="452">
        <f>industrie!L18</f>
        <v>0</v>
      </c>
      <c r="M8" s="452">
        <f>industrie!M18</f>
        <v>0</v>
      </c>
      <c r="N8" s="452">
        <f>industrie!N18</f>
        <v>156.25947216480125</v>
      </c>
      <c r="O8" s="452">
        <f>industrie!O18</f>
        <v>0</v>
      </c>
      <c r="P8" s="453">
        <f>industrie!P18</f>
        <v>0</v>
      </c>
      <c r="Q8" s="451">
        <f t="shared" si="0"/>
        <v>2962.0086993147888</v>
      </c>
    </row>
    <row r="9" spans="1:17" s="457" customFormat="1">
      <c r="A9" s="455" t="s">
        <v>570</v>
      </c>
      <c r="B9" s="456">
        <f>transport!B14</f>
        <v>7.8932739914847758</v>
      </c>
      <c r="C9" s="456">
        <f>transport!C14</f>
        <v>0</v>
      </c>
      <c r="D9" s="456">
        <f>transport!D14</f>
        <v>18.560199236549312</v>
      </c>
      <c r="E9" s="456">
        <f>transport!E14</f>
        <v>173.78640482254013</v>
      </c>
      <c r="F9" s="456">
        <f>transport!F14</f>
        <v>0</v>
      </c>
      <c r="G9" s="456">
        <f>transport!G14</f>
        <v>46040.301432796106</v>
      </c>
      <c r="H9" s="456">
        <f>transport!H14</f>
        <v>11123.51272194712</v>
      </c>
      <c r="I9" s="456">
        <f>transport!I14</f>
        <v>0</v>
      </c>
      <c r="J9" s="456">
        <f>transport!J14</f>
        <v>0</v>
      </c>
      <c r="K9" s="456">
        <f>transport!K14</f>
        <v>0</v>
      </c>
      <c r="L9" s="456">
        <f>transport!L14</f>
        <v>0</v>
      </c>
      <c r="M9" s="456">
        <f>transport!M14</f>
        <v>3008.5845899203987</v>
      </c>
      <c r="N9" s="456">
        <f>transport!N14</f>
        <v>0</v>
      </c>
      <c r="O9" s="456">
        <f>transport!O14</f>
        <v>0</v>
      </c>
      <c r="P9" s="456">
        <f>transport!P14</f>
        <v>0</v>
      </c>
      <c r="Q9" s="455">
        <f>SUM(B9:P9)</f>
        <v>60372.638622714199</v>
      </c>
    </row>
    <row r="10" spans="1:17">
      <c r="A10" s="451" t="s">
        <v>560</v>
      </c>
      <c r="B10" s="452">
        <f>transport!B54</f>
        <v>0</v>
      </c>
      <c r="C10" s="452">
        <f>transport!C54</f>
        <v>0</v>
      </c>
      <c r="D10" s="452">
        <f>transport!D54</f>
        <v>0</v>
      </c>
      <c r="E10" s="452">
        <f>transport!E54</f>
        <v>0</v>
      </c>
      <c r="F10" s="452">
        <f>transport!F54</f>
        <v>0</v>
      </c>
      <c r="G10" s="452">
        <f>transport!G54</f>
        <v>2335.4994043047282</v>
      </c>
      <c r="H10" s="452">
        <f>transport!H54</f>
        <v>0</v>
      </c>
      <c r="I10" s="452">
        <f>transport!I54</f>
        <v>0</v>
      </c>
      <c r="J10" s="452">
        <f>transport!J54</f>
        <v>0</v>
      </c>
      <c r="K10" s="452">
        <f>transport!K54</f>
        <v>0</v>
      </c>
      <c r="L10" s="452">
        <f>transport!L54</f>
        <v>0</v>
      </c>
      <c r="M10" s="452">
        <f>transport!M54</f>
        <v>133.49003737209588</v>
      </c>
      <c r="N10" s="452">
        <f>transport!N54</f>
        <v>0</v>
      </c>
      <c r="O10" s="452">
        <f>transport!O54</f>
        <v>0</v>
      </c>
      <c r="P10" s="453">
        <f>transport!P54</f>
        <v>0</v>
      </c>
      <c r="Q10" s="451">
        <f t="shared" si="0"/>
        <v>2468.9894416768238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622.25890000000004</v>
      </c>
      <c r="C14" s="459"/>
      <c r="D14" s="459">
        <f>'SEAP template'!E25</f>
        <v>658.39583618146492</v>
      </c>
      <c r="E14" s="459"/>
      <c r="F14" s="459"/>
      <c r="G14" s="459"/>
      <c r="H14" s="459"/>
      <c r="I14" s="459"/>
      <c r="J14" s="459"/>
      <c r="K14" s="459"/>
      <c r="L14" s="459"/>
      <c r="M14" s="459"/>
      <c r="N14" s="459"/>
      <c r="O14" s="459"/>
      <c r="P14" s="460"/>
      <c r="Q14" s="451">
        <f t="shared" si="0"/>
        <v>1280.6547361814651</v>
      </c>
    </row>
    <row r="15" spans="1:17" s="461" customFormat="1">
      <c r="A15" s="1017" t="s">
        <v>564</v>
      </c>
      <c r="B15" s="957">
        <f ca="1">SUM(B4:B14)</f>
        <v>34898.155062993341</v>
      </c>
      <c r="C15" s="957">
        <f t="shared" ref="C15:Q15" ca="1" si="1">SUM(C4:C14)</f>
        <v>60.75</v>
      </c>
      <c r="D15" s="957">
        <f t="shared" ca="1" si="1"/>
        <v>32225.648144194733</v>
      </c>
      <c r="E15" s="957">
        <f t="shared" si="1"/>
        <v>16578.607539088043</v>
      </c>
      <c r="F15" s="957">
        <f t="shared" ca="1" si="1"/>
        <v>34433.593031880475</v>
      </c>
      <c r="G15" s="957">
        <f t="shared" si="1"/>
        <v>48375.800837100833</v>
      </c>
      <c r="H15" s="957">
        <f t="shared" si="1"/>
        <v>11123.51272194712</v>
      </c>
      <c r="I15" s="957">
        <f t="shared" si="1"/>
        <v>0</v>
      </c>
      <c r="J15" s="957">
        <f t="shared" si="1"/>
        <v>165.23866856932378</v>
      </c>
      <c r="K15" s="957">
        <f t="shared" si="1"/>
        <v>0</v>
      </c>
      <c r="L15" s="957">
        <f t="shared" ca="1" si="1"/>
        <v>0</v>
      </c>
      <c r="M15" s="957">
        <f t="shared" si="1"/>
        <v>3142.0746272924944</v>
      </c>
      <c r="N15" s="957">
        <f t="shared" ca="1" si="1"/>
        <v>7353.0355185291082</v>
      </c>
      <c r="O15" s="957">
        <f t="shared" si="1"/>
        <v>156.33333333333334</v>
      </c>
      <c r="P15" s="957">
        <f t="shared" si="1"/>
        <v>381.33333333333337</v>
      </c>
      <c r="Q15" s="957">
        <f t="shared" ca="1" si="1"/>
        <v>188894.0828182621</v>
      </c>
    </row>
    <row r="17" spans="1:17">
      <c r="A17" s="462" t="s">
        <v>565</v>
      </c>
      <c r="B17" s="761">
        <f ca="1">huishoudens!B10</f>
        <v>0.17763923173947679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3241.7107499767644</v>
      </c>
      <c r="C22" s="452">
        <f t="shared" ref="C22:C32" ca="1" si="3">C4*$C$17</f>
        <v>0</v>
      </c>
      <c r="D22" s="452">
        <f t="shared" ref="D22:D32" si="4">D4*$D$17</f>
        <v>4749.6404018255862</v>
      </c>
      <c r="E22" s="452">
        <f t="shared" ref="E22:E32" si="5">E4*$E$17</f>
        <v>3671.5905177754257</v>
      </c>
      <c r="F22" s="452">
        <f t="shared" ref="F22:F32" si="6">F4*$F$17</f>
        <v>8282.4775299450048</v>
      </c>
      <c r="G22" s="452">
        <f t="shared" ref="G22:G32" si="7">G4*$G$17</f>
        <v>0</v>
      </c>
      <c r="H22" s="452">
        <f t="shared" ref="H22:H32" si="8">H4*$H$17</f>
        <v>0</v>
      </c>
      <c r="I22" s="452">
        <f t="shared" ref="I22:I32" si="9">I4*$I$17</f>
        <v>0</v>
      </c>
      <c r="J22" s="452">
        <f t="shared" ref="J22:J32" si="10">J4*$J$17</f>
        <v>32.815136452673883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19978.234335975456</v>
      </c>
    </row>
    <row r="23" spans="1:17">
      <c r="A23" s="451" t="s">
        <v>155</v>
      </c>
      <c r="B23" s="452">
        <f t="shared" ca="1" si="2"/>
        <v>2434.0258985974597</v>
      </c>
      <c r="C23" s="452">
        <f t="shared" ca="1" si="3"/>
        <v>0</v>
      </c>
      <c r="D23" s="452">
        <f t="shared" ca="1" si="4"/>
        <v>1487.3690783723196</v>
      </c>
      <c r="E23" s="452">
        <f t="shared" si="5"/>
        <v>12.35238412460358</v>
      </c>
      <c r="F23" s="452">
        <f t="shared" ca="1" si="6"/>
        <v>390.93191091497692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4324.6792720093599</v>
      </c>
    </row>
    <row r="24" spans="1:17">
      <c r="A24" s="451" t="s">
        <v>193</v>
      </c>
      <c r="B24" s="452">
        <f t="shared" ca="1" si="2"/>
        <v>125.61101007299666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125.61101007299666</v>
      </c>
    </row>
    <row r="25" spans="1:17">
      <c r="A25" s="451" t="s">
        <v>111</v>
      </c>
      <c r="B25" s="452">
        <f t="shared" ca="1" si="2"/>
        <v>77.215875566570816</v>
      </c>
      <c r="C25" s="452">
        <f t="shared" ca="1" si="3"/>
        <v>0</v>
      </c>
      <c r="D25" s="452">
        <f t="shared" si="4"/>
        <v>13.30676599557834</v>
      </c>
      <c r="E25" s="452">
        <f t="shared" si="5"/>
        <v>0.91394063450387464</v>
      </c>
      <c r="F25" s="452">
        <f t="shared" si="6"/>
        <v>294.46389476497671</v>
      </c>
      <c r="G25" s="452">
        <f t="shared" si="7"/>
        <v>0</v>
      </c>
      <c r="H25" s="452">
        <f t="shared" si="8"/>
        <v>0</v>
      </c>
      <c r="I25" s="452">
        <f t="shared" si="9"/>
        <v>0</v>
      </c>
      <c r="J25" s="452">
        <f t="shared" si="10"/>
        <v>23.590912831602044</v>
      </c>
      <c r="K25" s="452">
        <f t="shared" si="11"/>
        <v>0</v>
      </c>
      <c r="L25" s="452">
        <f t="shared" si="12"/>
        <v>0</v>
      </c>
      <c r="M25" s="452">
        <f t="shared" si="13"/>
        <v>0</v>
      </c>
      <c r="N25" s="452">
        <f t="shared" si="14"/>
        <v>0</v>
      </c>
      <c r="O25" s="452">
        <f t="shared" si="15"/>
        <v>0</v>
      </c>
      <c r="P25" s="453">
        <f t="shared" si="16"/>
        <v>0</v>
      </c>
      <c r="Q25" s="451">
        <f t="shared" ca="1" si="17"/>
        <v>409.4913897932318</v>
      </c>
    </row>
    <row r="26" spans="1:17">
      <c r="A26" s="451" t="s">
        <v>649</v>
      </c>
      <c r="B26" s="452">
        <f t="shared" ca="1" si="2"/>
        <v>208.77817223466965</v>
      </c>
      <c r="C26" s="452">
        <f t="shared" ca="1" si="3"/>
        <v>0</v>
      </c>
      <c r="D26" s="452">
        <f t="shared" si="4"/>
        <v>122.51955977941242</v>
      </c>
      <c r="E26" s="452">
        <f t="shared" si="5"/>
        <v>39.037554943736275</v>
      </c>
      <c r="F26" s="452">
        <f t="shared" si="6"/>
        <v>225.89600388712921</v>
      </c>
      <c r="G26" s="452">
        <f t="shared" si="7"/>
        <v>0</v>
      </c>
      <c r="H26" s="452">
        <f t="shared" si="8"/>
        <v>0</v>
      </c>
      <c r="I26" s="452">
        <f t="shared" si="9"/>
        <v>0</v>
      </c>
      <c r="J26" s="452">
        <f t="shared" si="10"/>
        <v>2.0884393892646953</v>
      </c>
      <c r="K26" s="452">
        <f t="shared" si="11"/>
        <v>0</v>
      </c>
      <c r="L26" s="452">
        <f t="shared" si="12"/>
        <v>0</v>
      </c>
      <c r="M26" s="452">
        <f t="shared" si="13"/>
        <v>0</v>
      </c>
      <c r="N26" s="452">
        <f t="shared" si="14"/>
        <v>0</v>
      </c>
      <c r="O26" s="452">
        <f t="shared" si="15"/>
        <v>0</v>
      </c>
      <c r="P26" s="453">
        <f t="shared" si="16"/>
        <v>0</v>
      </c>
      <c r="Q26" s="451">
        <f t="shared" ca="1" si="17"/>
        <v>598.31973023421233</v>
      </c>
    </row>
    <row r="27" spans="1:17" s="457" customFormat="1">
      <c r="A27" s="455" t="s">
        <v>570</v>
      </c>
      <c r="B27" s="755">
        <f t="shared" ca="1" si="2"/>
        <v>1.4021551277565492</v>
      </c>
      <c r="C27" s="456">
        <f t="shared" ca="1" si="3"/>
        <v>0</v>
      </c>
      <c r="D27" s="456">
        <f t="shared" si="4"/>
        <v>3.7491602457829614</v>
      </c>
      <c r="E27" s="456">
        <f t="shared" si="5"/>
        <v>39.44951389471661</v>
      </c>
      <c r="F27" s="456">
        <f t="shared" si="6"/>
        <v>0</v>
      </c>
      <c r="G27" s="456">
        <f t="shared" si="7"/>
        <v>12292.760482556561</v>
      </c>
      <c r="H27" s="456">
        <f t="shared" si="8"/>
        <v>2769.7546677648329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15107.115979589651</v>
      </c>
    </row>
    <row r="28" spans="1:17">
      <c r="A28" s="451" t="s">
        <v>560</v>
      </c>
      <c r="B28" s="452">
        <f t="shared" ca="1" si="2"/>
        <v>0</v>
      </c>
      <c r="C28" s="452">
        <f t="shared" ca="1" si="3"/>
        <v>0</v>
      </c>
      <c r="D28" s="452">
        <f t="shared" si="4"/>
        <v>0</v>
      </c>
      <c r="E28" s="452">
        <f t="shared" si="5"/>
        <v>0</v>
      </c>
      <c r="F28" s="452">
        <f t="shared" si="6"/>
        <v>0</v>
      </c>
      <c r="G28" s="452">
        <f t="shared" si="7"/>
        <v>623.57834094936243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623.57834094936243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110.53759293905192</v>
      </c>
      <c r="C32" s="452">
        <f t="shared" ca="1" si="3"/>
        <v>0</v>
      </c>
      <c r="D32" s="452">
        <f t="shared" si="4"/>
        <v>132.99595890865592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243.53355184770783</v>
      </c>
    </row>
    <row r="33" spans="1:17" s="461" customFormat="1">
      <c r="A33" s="1017" t="s">
        <v>564</v>
      </c>
      <c r="B33" s="957">
        <f ca="1">SUM(B22:B32)</f>
        <v>6199.2814545152696</v>
      </c>
      <c r="C33" s="957">
        <f t="shared" ref="C33:Q33" ca="1" si="18">SUM(C22:C32)</f>
        <v>0</v>
      </c>
      <c r="D33" s="957">
        <f t="shared" ca="1" si="18"/>
        <v>6509.5809251273358</v>
      </c>
      <c r="E33" s="957">
        <f t="shared" si="18"/>
        <v>3763.3439113729864</v>
      </c>
      <c r="F33" s="957">
        <f t="shared" ca="1" si="18"/>
        <v>9193.7693395120878</v>
      </c>
      <c r="G33" s="957">
        <f t="shared" si="18"/>
        <v>12916.338823505925</v>
      </c>
      <c r="H33" s="957">
        <f t="shared" si="18"/>
        <v>2769.7546677648329</v>
      </c>
      <c r="I33" s="957">
        <f t="shared" si="18"/>
        <v>0</v>
      </c>
      <c r="J33" s="957">
        <f t="shared" si="18"/>
        <v>58.494488673540616</v>
      </c>
      <c r="K33" s="957">
        <f t="shared" si="18"/>
        <v>0</v>
      </c>
      <c r="L33" s="957">
        <f t="shared" ca="1" si="18"/>
        <v>0</v>
      </c>
      <c r="M33" s="957">
        <f t="shared" si="18"/>
        <v>0</v>
      </c>
      <c r="N33" s="957">
        <f t="shared" ca="1" si="18"/>
        <v>0</v>
      </c>
      <c r="O33" s="957">
        <f t="shared" si="18"/>
        <v>0</v>
      </c>
      <c r="P33" s="957">
        <f t="shared" si="18"/>
        <v>0</v>
      </c>
      <c r="Q33" s="957">
        <f t="shared" ca="1" si="18"/>
        <v>41410.563610471974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1928.6077574943854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54</v>
      </c>
      <c r="C8" s="1034">
        <f>'SEAP template'!C76</f>
        <v>0</v>
      </c>
      <c r="D8" s="1034">
        <f>'SEAP template'!D76</f>
        <v>0</v>
      </c>
      <c r="E8" s="1034">
        <f>'SEAP template'!E76</f>
        <v>0</v>
      </c>
      <c r="F8" s="1034">
        <f>'SEAP template'!F76</f>
        <v>0</v>
      </c>
      <c r="G8" s="1034">
        <f>'SEAP template'!G76</f>
        <v>0</v>
      </c>
      <c r="H8" s="1034">
        <f>'SEAP template'!H76</f>
        <v>0</v>
      </c>
      <c r="I8" s="1034">
        <f>'SEAP template'!I76</f>
        <v>63.529411764705884</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4864.5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13898.571428571429</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6847.1077574943856</v>
      </c>
      <c r="C10" s="1038">
        <f>SUM(C4:C9)</f>
        <v>0</v>
      </c>
      <c r="D10" s="1038">
        <f t="shared" ref="D10:H10" si="0">SUM(D8:D9)</f>
        <v>0</v>
      </c>
      <c r="E10" s="1038">
        <f t="shared" si="0"/>
        <v>0</v>
      </c>
      <c r="F10" s="1038">
        <f t="shared" si="0"/>
        <v>0</v>
      </c>
      <c r="G10" s="1038">
        <f t="shared" si="0"/>
        <v>0</v>
      </c>
      <c r="H10" s="1038">
        <f t="shared" si="0"/>
        <v>0</v>
      </c>
      <c r="I10" s="1038">
        <f>SUM(I8:I9)</f>
        <v>63.529411764705884</v>
      </c>
      <c r="J10" s="1038">
        <f>SUM(J8:J9)</f>
        <v>13898.571428571429</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0.17763923173947679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60.75</v>
      </c>
      <c r="C17" s="1040">
        <f>'SEAP template'!C87</f>
        <v>0</v>
      </c>
      <c r="D17" s="1035">
        <f>'SEAP template'!D87</f>
        <v>0</v>
      </c>
      <c r="E17" s="1035">
        <f>'SEAP template'!E87</f>
        <v>0</v>
      </c>
      <c r="F17" s="1035">
        <f>'SEAP template'!F87</f>
        <v>0</v>
      </c>
      <c r="G17" s="1035">
        <f>'SEAP template'!G87</f>
        <v>0</v>
      </c>
      <c r="H17" s="1035">
        <f>'SEAP template'!H87</f>
        <v>0</v>
      </c>
      <c r="I17" s="1035">
        <f>'SEAP template'!I87</f>
        <v>71.470588235294116</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60.75</v>
      </c>
      <c r="C20" s="1038">
        <f>SUM(C17:C19)</f>
        <v>0</v>
      </c>
      <c r="D20" s="1038">
        <f t="shared" ref="D20:H20" si="2">SUM(D17:D19)</f>
        <v>0</v>
      </c>
      <c r="E20" s="1038">
        <f t="shared" si="2"/>
        <v>0</v>
      </c>
      <c r="F20" s="1038">
        <f t="shared" si="2"/>
        <v>0</v>
      </c>
      <c r="G20" s="1038">
        <f t="shared" si="2"/>
        <v>0</v>
      </c>
      <c r="H20" s="1038">
        <f t="shared" si="2"/>
        <v>0</v>
      </c>
      <c r="I20" s="1038">
        <f>SUM(I17:I19)</f>
        <v>71.470588235294116</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0.17763923173947679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2020-06-20T16:05:46Z</dcterms:modified>
</cp:coreProperties>
</file>