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6" i="18"/>
  <c r="C50" i="18" s="1"/>
  <c r="C6" i="17"/>
  <c r="J9" i="18"/>
  <c r="J77" i="14" s="1"/>
  <c r="J9" i="59" s="1"/>
  <c r="K20" i="18"/>
  <c r="L10" i="59"/>
  <c r="B16" i="16"/>
  <c r="C46" i="18"/>
  <c r="E49"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0"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J17" i="18"/>
  <c r="J87" i="14" s="1"/>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J7" i="48"/>
  <c r="J25" i="48" s="1"/>
  <c r="K24" i="14"/>
  <c r="K26" i="14" s="1"/>
  <c r="Q16" i="14"/>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N22" i="14"/>
  <c r="N27" i="14" s="1"/>
  <c r="F10" i="14"/>
  <c r="E5" i="48"/>
  <c r="E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33" i="48" l="1"/>
  <c r="J15" i="48"/>
  <c r="E8" i="48"/>
  <c r="E26" i="48" s="1"/>
  <c r="E33" i="48" s="1"/>
  <c r="F13" i="14"/>
  <c r="F16" i="14" s="1"/>
  <c r="F27" i="14" s="1"/>
  <c r="F63" i="14" s="1"/>
  <c r="N63" i="14"/>
  <c r="J22" i="16"/>
  <c r="K43" i="14" s="1"/>
  <c r="K46" i="14" s="1"/>
  <c r="K61" i="14" s="1"/>
  <c r="K13" i="14"/>
  <c r="K16" i="14" s="1"/>
  <c r="K27" i="14" s="1"/>
  <c r="J8" i="48"/>
  <c r="J26"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<sst xmlns="http://schemas.openxmlformats.org/spreadsheetml/2006/main" count="2452" uniqueCount="923">
  <si>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</si>
  <si>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</si>
  <si>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</si>
  <si>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</si>
  <si>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</si>
  <si>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</si>
  <si>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</si>
  <si>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</si>
  <si>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</si>
  <si>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</si>
  <si>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</si>
  <si>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</si>
  <si>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</si>
  <si>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</si>
  <si>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</si>
  <si>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</si>
  <si>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</si>
  <si>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</si>
  <si>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</si>
  <si>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</si>
  <si>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</si>
  <si>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</si>
  <si>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</si>
  <si>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</si>
  <si>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</si>
  <si>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</si>
  <si>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</si>
  <si>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</si>
  <si>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</si>
  <si>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</si>
  <si>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</si>
  <si>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</si>
  <si>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</si>
  <si>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</si>
  <si>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</si>
  <si>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</si>
  <si>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</si>
  <si>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</si>
  <si>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</si>
  <si>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</si>
  <si>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</si>
  <si>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</si>
  <si>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</si>
  <si>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</si>
  <si>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</si>
  <si>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</si>
  <si>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</si>
  <si>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</si>
  <si>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</si>
  <si>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</si>
  <si>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</si>
  <si>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</si>
  <si>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</si>
  <si>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</si>
  <si>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</si>
  <si>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</si>
  <si>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</si>
  <si>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</si>
  <si>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</si>
  <si>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</si>
  <si>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</si>
  <si>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</si>
  <si>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</si>
  <si>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</si>
  <si>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</si>
  <si>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</si>
  <si>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</si>
  <si>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</si>
  <si>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</si>
  <si>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</si>
  <si>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</si>
  <si>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</si>
  <si>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</si>
  <si>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</si>
  <si>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</si>
  <si>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</si>
  <si>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</si>
  <si>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</si>
  <si>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</si>
  <si>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</si>
  <si>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</si>
  <si>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</si>
  <si>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</si>
  <si>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</si>
  <si>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</si>
  <si>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</si>
  <si>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</si>
  <si>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</si>
  <si>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</si>
  <si>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</si>
  <si>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</si>
  <si>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</si>
  <si>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</si>
  <si>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</si>
  <si>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</si>
  <si>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</si>
  <si>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</si>
  <si>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</si>
  <si>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</si>
  <si>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</si>
  <si>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</si>
  <si>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</si>
  <si>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</si>
  <si>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</si>
  <si>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</si>
  <si>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</si>
  <si>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</si>
  <si>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</si>
  <si>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</si>
  <si>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</si>
  <si>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</si>
  <si>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</si>
  <si>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</si>
  <si>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</si>
  <si>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</si>
  <si>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</si>
  <si>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</si>
  <si>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</si>
  <si>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</si>
  <si>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</si>
  <si>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</si>
  <si>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</si>
  <si>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</si>
  <si>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</si>
  <si>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</si>
  <si>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</si>
  <si>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</si>
  <si>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</si>
  <si>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</si>
  <si>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</si>
  <si>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</si>
  <si>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</si>
  <si>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</si>
  <si>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</si>
  <si>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</si>
  <si>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</si>
  <si>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</si>
  <si>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</si>
  <si>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</si>
  <si>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</si>
  <si>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</si>
  <si>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</si>
  <si>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</si>
  <si>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</si>
  <si>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</si>
  <si>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</si>
  <si>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</si>
  <si>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</si>
  <si>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</si>
  <si>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</si>
  <si>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</si>
  <si>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</si>
  <si>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</si>
  <si>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</si>
  <si>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</si>
  <si>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</si>
  <si>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</si>
  <si>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</si>
  <si>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</si>
  <si>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</si>
  <si>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</si>
  <si>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</si>
  <si>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</si>
  <si>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</si>
  <si>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</si>
  <si>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</si>
  <si>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</si>
  <si>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</si>
  <si>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</si>
  <si>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</si>
  <si>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</si>
  <si>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</si>
  <si>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</si>
  <si>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</si>
  <si>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</si>
  <si>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</si>
  <si>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</si>
  <si>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</si>
  <si>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</si>
  <si>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</si>
  <si>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</si>
  <si>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</si>
  <si>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</si>
  <si>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</si>
  <si>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</si>
  <si>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</si>
  <si>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</si>
  <si>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</si>
  <si>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</si>
  <si>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</si>
  <si>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</si>
  <si>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</si>
  <si>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</si>
  <si>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</si>
  <si>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</si>
  <si>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</si>
  <si>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</si>
  <si>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</si>
  <si>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</si>
  <si>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</si>
  <si>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</si>
  <si>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</si>
  <si>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</si>
  <si>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</si>
  <si>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</si>
  <si>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</si>
  <si>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</si>
  <si>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</si>
  <si>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</si>
  <si>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</si>
  <si>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</si>
  <si>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</si>
  <si>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</si>
  <si>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</si>
  <si>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</si>
  <si>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</si>
  <si>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</si>
  <si>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</si>
  <si>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</si>
  <si>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</si>
  <si>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</si>
  <si>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</si>
  <si>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</si>
  <si>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</si>
  <si>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</si>
  <si>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</si>
  <si>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</si>
  <si>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</si>
  <si>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</si>
  <si>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</si>
  <si>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</si>
  <si>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</si>
  <si>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</si>
  <si>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</si>
  <si>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</si>
  <si>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</si>
  <si>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</si>
  <si>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</si>
  <si>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</si>
  <si>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</si>
  <si>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</si>
  <si>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</si>
  <si>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</si>
  <si>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</si>
  <si>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</si>
  <si>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</si>
  <si>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</si>
  <si>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</si>
  <si>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</si>
  <si>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</si>
  <si>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</si>
  <si>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</si>
  <si>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</si>
  <si>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</si>
  <si>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</si>
  <si>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</si>
  <si>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</si>
  <si>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</si>
  <si>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</si>
  <si>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</si>
  <si>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</si>
  <si>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</si>
  <si>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</si>
  <si>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</si>
  <si>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</si>
  <si>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</si>
  <si>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</si>
  <si>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</si>
  <si>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</si>
  <si>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</si>
  <si>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</si>
  <si>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</si>
  <si>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</si>
  <si>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</si>
  <si>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</si>
  <si>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</si>
  <si>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</si>
  <si>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</si>
  <si>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</si>
  <si>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</si>
  <si>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</si>
  <si>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</si>
  <si>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</si>
  <si>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</si>
  <si>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</si>
  <si>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</si>
  <si>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</si>
  <si>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</si>
  <si>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</si>
  <si>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</si>
  <si>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</si>
  <si>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</si>
  <si>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</si>
  <si>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</si>
  <si>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</si>
  <si>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</si>
  <si>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</si>
  <si>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</si>
  <si>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</si>
  <si>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</si>
  <si>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</si>
  <si>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</si>
  <si>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</si>
  <si>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</si>
  <si>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</si>
  <si>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</si>
  <si>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</si>
  <si>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</si>
  <si>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</si>
  <si>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</si>
  <si>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</si>
  <si>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</si>
  <si>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</si>
  <si>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</si>
  <si>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</si>
  <si>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</si>
  <si>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</si>
  <si>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</si>
  <si>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</si>
  <si>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</si>
  <si>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</si>
  <si>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</si>
  <si>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</si>
  <si>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</si>
  <si>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</si>
  <si>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</si>
  <si>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</si>
  <si>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</si>
  <si>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</si>
  <si>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</si>
  <si>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</si>
  <si>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</si>
  <si>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</si>
  <si>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</si>
  <si>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</si>
  <si>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</si>
  <si>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</si>
  <si>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</si>
  <si>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</si>
  <si>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</si>
  <si>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</si>
  <si>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</si>
  <si>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</si>
  <si>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</si>
  <si>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</si>
  <si>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</si>
  <si>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</si>
  <si>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</si>
  <si>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</si>
  <si>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</si>
  <si>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</si>
  <si>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</si>
  <si>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</si>
  <si>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</si>
  <si>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</si>
  <si>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</si>
  <si>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</si>
  <si>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</si>
  <si>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</si>
  <si>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</si>
  <si>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</si>
  <si>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</si>
  <si>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</si>
  <si>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</si>
  <si>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</si>
  <si>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</si>
  <si>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</si>
  <si>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</si>
  <si>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</si>
  <si>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</si>
  <si>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</si>
  <si>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</si>
  <si>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</si>
  <si>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</si>
  <si>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</si>
  <si>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</si>
  <si>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</si>
  <si>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</si>
  <si>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</si>
  <si>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</si>
  <si>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</si>
  <si>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</si>
  <si>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</si>
  <si>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</si>
  <si>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</si>
  <si>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</si>
  <si>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</si>
  <si>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</si>
  <si>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</si>
  <si>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</si>
  <si>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</si>
  <si>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</si>
  <si>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</si>
  <si>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</si>
  <si>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</si>
  <si>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</si>
  <si>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</si>
  <si>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</si>
  <si>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</si>
  <si>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</si>
  <si>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</si>
  <si>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</si>
  <si>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</si>
  <si>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</si>
  <si>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</si>
  <si>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</si>
  <si>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</si>
  <si>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</si>
  <si>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</si>
  <si>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</si>
  <si>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</si>
  <si>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</si>
  <si>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</si>
  <si>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</si>
  <si>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</si>
  <si>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</si>
  <si>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</si>
  <si>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</si>
  <si>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</si>
  <si>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</si>
  <si>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</si>
  <si>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</si>
  <si>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</si>
  <si>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</si>
  <si>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</si>
  <si>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</si>
  <si>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</si>
  <si>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</si>
  <si>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</si>
  <si>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</si>
  <si>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</si>
  <si>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</si>
  <si>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</si>
  <si>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</si>
  <si>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</si>
  <si>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</si>
  <si>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</si>
  <si>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</si>
  <si>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</si>
  <si>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</si>
  <si>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</si>
  <si>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</si>
  <si>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</si>
  <si>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</si>
  <si>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</si>
  <si>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</si>
  <si>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</si>
  <si>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</si>
  <si>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</si>
  <si>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</si>
  <si>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</si>
  <si>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</si>
  <si>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</si>
  <si>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</si>
  <si>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</si>
  <si>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</si>
  <si>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</si>
  <si>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</si>
  <si>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</si>
  <si>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</si>
  <si>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</si>
  <si>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</si>
  <si>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</si>
  <si>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</si>
  <si>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</si>
  <si>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</si>
  <si>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</si>
  <si>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</si>
  <si>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</si>
  <si>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</si>
  <si>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</si>
  <si>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</si>
  <si>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</si>
  <si>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</si>
  <si>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</si>
  <si>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</si>
  <si>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</si>
  <si>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</si>
  <si>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</si>
  <si>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</si>
  <si>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</si>
  <si>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</si>
  <si>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</si>
  <si>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</si>
  <si>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</si>
  <si>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</si>
  <si>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</si>
  <si>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</si>
  <si>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</si>
  <si>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</si>
  <si>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</si>
  <si>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</si>
  <si>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</si>
  <si>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</si>
  <si>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</si>
  <si>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</si>
  <si>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</si>
  <si>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</si>
  <si>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</si>
  <si>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</si>
  <si>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</si>
  <si>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</si>
  <si>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</si>
  <si>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</si>
  <si>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</si>
  <si>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</si>
  <si>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</si>
  <si>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</si>
  <si>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</si>
  <si>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</si>
  <si>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</si>
  <si>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</si>
  <si>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</si>
  <si>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</si>
  <si>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</si>
  <si>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</si>
  <si>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</si>
  <si>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</si>
  <si>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</si>
  <si>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</si>
  <si>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</si>
  <si>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</si>
  <si>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</si>
  <si>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</si>
  <si>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</si>
  <si>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</si>
  <si>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</si>
  <si>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</si>
  <si>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</si>
  <si>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</si>
  <si>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</si>
  <si>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</si>
  <si>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</si>
  <si>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</si>
  <si>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</si>
  <si>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</si>
  <si>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</si>
  <si>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</si>
  <si>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</si>
  <si>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</si>
  <si>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</si>
  <si>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</si>
  <si>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</si>
  <si>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</si>
  <si>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</si>
  <si>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</si>
  <si>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</si>
  <si>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</si>
  <si>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</si>
  <si>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</si>
  <si>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</si>
  <si>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</si>
  <si>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</si>
  <si>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</si>
  <si>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</si>
  <si>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</si>
  <si>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</si>
  <si>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</si>
  <si>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</si>
  <si>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</si>
  <si>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</si>
  <si>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</si>
  <si>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</si>
  <si>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</si>
  <si>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</si>
  <si>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</si>
  <si>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</si>
  <si>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</si>
  <si>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</si>
  <si>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</si>
  <si>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</si>
  <si>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</si>
  <si>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</si>
  <si>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</si>
  <si>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</si>
  <si>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</si>
  <si>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</si>
  <si>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</si>
  <si>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</si>
  <si>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</si>
  <si>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</si>
  <si>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</si>
  <si>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</si>
  <si>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</si>
  <si>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</si>
  <si>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</si>
  <si>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</si>
  <si>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</si>
  <si>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</si>
  <si>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</si>
  <si>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</si>
  <si>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</si>
  <si>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</si>
  <si>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</si>
  <si>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</si>
  <si>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</si>
  <si>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</si>
  <si>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</si>
  <si>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</si>
  <si>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</si>
  <si>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</si>
  <si>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</si>
  <si>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</si>
  <si>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</si>
  <si>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</si>
  <si>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</si>
  <si>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</si>
  <si>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</si>
  <si>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</si>
  <si>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</si>
  <si>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</si>
  <si>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</si>
  <si>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</si>
  <si>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</si>
  <si>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</si>
  <si>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</si>
  <si>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</si>
  <si>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</si>
  <si>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</si>
  <si>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</si>
  <si>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</si>
  <si>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</si>
  <si>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</si>
  <si>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</si>
  <si>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</si>
  <si>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</si>
  <si>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</si>
  <si>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</si>
  <si>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</si>
  <si>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</si>
  <si>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</si>
  <si>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</si>
  <si>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</si>
  <si>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</si>
  <si>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</si>
  <si>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</si>
  <si>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</si>
  <si>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</si>
  <si>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</si>
  <si>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</si>
  <si>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</si>
  <si>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</si>
  <si>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</si>
  <si>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</si>
  <si>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</si>
  <si>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</si>
  <si>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</si>
  <si>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</si>
  <si>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</si>
  <si>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</si>
  <si>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</si>
  <si>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</si>
  <si>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</si>
  <si>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</si>
  <si>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</si>
  <si>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</si>
  <si>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</si>
  <si>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</si>
  <si>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</si>
  <si>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</si>
  <si>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</si>
  <si>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</si>
  <si>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</si>
  <si>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</si>
  <si>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</si>
  <si>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</si>
  <si>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</si>
  <si>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</si>
  <si>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</si>
  <si>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</si>
  <si>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</si>
  <si>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</si>
  <si>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</si>
  <si>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</si>
  <si>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</si>
  <si>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</si>
  <si>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</si>
  <si>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</si>
  <si>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</si>
  <si>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</si>
  <si>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</si>
  <si>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</si>
  <si>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</si>
  <si>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</si>
  <si>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</si>
  <si>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</si>
  <si>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</si>
  <si>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</si>
  <si>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</si>
  <si>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</si>
  <si>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</si>
  <si>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</si>
  <si>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</si>
  <si>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</si>
  <si>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</si>
  <si>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</si>
  <si>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</si>
  <si>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</si>
  <si>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</si>
  <si>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</si>
  <si>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</si>
  <si>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</si>
  <si>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</si>
  <si>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</si>
  <si>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</si>
  <si>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</si>
  <si>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</si>
  <si>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</si>
  <si>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</si>
  <si>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</si>
  <si>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</si>
  <si>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</si>
  <si>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</si>
  <si>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</si>
  <si>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</si>
  <si>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</si>
  <si>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</si>
  <si>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</si>
  <si>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</si>
  <si>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</si>
  <si>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</si>
  <si>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</si>
  <si>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</si>
  <si>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</si>
  <si>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</si>
  <si>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</si>
  <si>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</si>
  <si>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</si>
  <si>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</si>
  <si>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</si>
  <si>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</si>
  <si>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</si>
  <si>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</si>
  <si>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</si>
  <si>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</si>
  <si>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</si>
  <si>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</si>
  <si>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</si>
  <si>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</si>
  <si>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</si>
  <si>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</si>
  <si>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</si>
  <si>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</si>
  <si>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</si>
  <si>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</si>
  <si>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</si>
  <si>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</si>
  <si>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</si>
  <si>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</si>
  <si>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</si>
  <si>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</si>
  <si>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</si>
  <si>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</si>
  <si>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</si>
  <si>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</si>
  <si>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</si>
  <si>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</si>
  <si>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</si>
  <si>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</si>
  <si>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</si>
  <si>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</si>
  <si>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</si>
  <si>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</si>
  <si>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</si>
  <si>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</si>
  <si>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</si>
  <si>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</si>
  <si>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</si>
  <si>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</si>
  <si>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</si>
  <si>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</si>
  <si>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</si>
  <si>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</si>
  <si>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</si>
  <si>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</si>
  <si>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</si>
  <si>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</si>
  <si>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</si>
  <si>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</si>
  <si>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</si>
  <si>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</si>
  <si>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</si>
  <si>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</si>
  <si>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</si>
  <si>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</si>
  <si>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</si>
  <si>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</si>
  <si>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</si>
  <si>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</si>
  <si>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</si>
  <si>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</si>
  <si>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</si>
  <si>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</si>
  <si>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</si>
  <si>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</si>
  <si>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</si>
  <si>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</si>
  <si>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</si>
  <si>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</si>
  <si>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</si>
  <si>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</si>
  <si>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</si>
  <si>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</si>
  <si>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</si>
  <si>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</si>
  <si>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</si>
  <si>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</si>
  <si>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</si>
  <si>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</si>
  <si>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</si>
  <si>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</si>
  <si>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</si>
  <si>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</si>
  <si>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</si>
  <si>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</si>
  <si>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</si>
  <si>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</si>
  <si>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</si>
  <si>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</si>
  <si>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</si>
  <si>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</si>
  <si>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</si>
  <si>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</si>
  <si>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</si>
  <si>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</si>
  <si>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</si>
  <si>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</si>
  <si>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</si>
  <si>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</si>
  <si>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</si>
  <si>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</si>
  <si>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</si>
  <si>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</si>
  <si>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</si>
  <si>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</si>
  <si>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</si>
  <si>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</si>
  <si>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</si>
  <si>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</si>
  <si>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</si>
  <si>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</si>
  <si>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</si>
  <si>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</si>
  <si>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</si>
  <si>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</si>
  <si>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</si>
  <si>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</si>
  <si>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</si>
  <si>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</si>
  <si>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</si>
  <si>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</si>
  <si>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</si>
  <si>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</si>
  <si>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</si>
  <si>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</si>
  <si>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</si>
  <si>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</si>
  <si>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</si>
  <si>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</si>
  <si>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</si>
  <si>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</si>
  <si>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</si>
  <si>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</si>
  <si>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</si>
  <si>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</si>
  <si>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</si>
  <si>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</si>
  <si>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</si>
  <si>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</si>
  <si>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</si>
  <si>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</si>
  <si>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</si>
  <si>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</si>
  <si>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</si>
  <si>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</si>
  <si>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</si>
  <si>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</si>
  <si>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</si>
  <si>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</si>
  <si>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</si>
  <si>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</si>
  <si>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</si>
  <si>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</si>
  <si>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</si>
  <si>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</si>
  <si>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</si>
  <si>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</si>
  <si>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</si>
  <si>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</si>
  <si>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</si>
  <si>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</si>
  <si>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</si>
  <si>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</si>
  <si>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</si>
  <si>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</si>
  <si>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</si>
  <si>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</si>
  <si>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</si>
  <si>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</si>
  <si>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</si>
  <si>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</si>
  <si>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</si>
  <si>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</si>
  <si>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</si>
  <si>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</si>
  <si>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</si>
  <si>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</si>
  <si>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24020</t>
  </si>
  <si>
    <t>DIEST</t>
  </si>
  <si>
    <t>Paarden&amp;pony's 200 - 600 kg</t>
  </si>
  <si>
    <t>Paarden&amp;pony's &lt; 200 kg</t>
  </si>
  <si>
    <t>Fluvius</t>
  </si>
  <si>
    <t>referentietaak LNE (2017); Jaarverslag De Lijn</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</si>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</sst>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197992.33131877214</c:v>
                </c:pt>
                <c:pt idx="1">
                  <c:v>95668.02577557425</c:v>
                </c:pt>
                <c:pt idx="2">
                  <c:v>2010.13</c:v>
                </c:pt>
                <c:pt idx="3">
                  <c:v>25358.952419546004</c:v>
                </c:pt>
                <c:pt idx="4">
                  <c:v>72330.973414756343</c:v>
                </c:pt>
                <c:pt idx="5">
                  <c:v>144909.5260248495</c:v>
                </c:pt>
                <c:pt idx="6">
                  <c:v>3156.2097989056224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197992.33131877214</c:v>
                </c:pt>
                <c:pt idx="1">
                  <c:v>95668.02577557425</c:v>
                </c:pt>
                <c:pt idx="2">
                  <c:v>2010.13</c:v>
                </c:pt>
                <c:pt idx="3">
                  <c:v>25358.952419546004</c:v>
                </c:pt>
                <c:pt idx="4">
                  <c:v>72330.973414756343</c:v>
                </c:pt>
                <c:pt idx="5">
                  <c:v>144909.5260248495</c:v>
                </c:pt>
                <c:pt idx="6">
                  <c:v>3156.2097989056224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41499.694548420754</c:v>
                </c:pt>
                <c:pt idx="2">
                  <c:v>17723.630141138518</c:v>
                </c:pt>
                <c:pt idx="3">
                  <c:v>336.76317190003175</c:v>
                </c:pt>
                <c:pt idx="4">
                  <c:v>6056.9974340684012</c:v>
                </c:pt>
                <c:pt idx="5">
                  <c:v>14507.714906526524</c:v>
                </c:pt>
                <c:pt idx="6">
                  <c:v>36314.545978116352</c:v>
                </c:pt>
                <c:pt idx="7">
                  <c:v>797.1456000852786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41499.694548420754</c:v>
                </c:pt>
                <c:pt idx="2">
                  <c:v>17723.630141138518</c:v>
                </c:pt>
                <c:pt idx="3">
                  <c:v>336.76317190003175</c:v>
                </c:pt>
                <c:pt idx="4">
                  <c:v>6056.9974340684012</c:v>
                </c:pt>
                <c:pt idx="5">
                  <c:v>14507.714906526524</c:v>
                </c:pt>
                <c:pt idx="6">
                  <c:v>36314.545978116352</c:v>
                </c:pt>
                <c:pt idx="7">
                  <c:v>797.1456000852786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24020</v>
      </c>
      <c r="B6" s="391"/>
      <c r="C6" s="392"/>
    </row>
    <row r="7" spans="1:7" s="389" customFormat="1" ht="15.75" customHeight="1">
      <c r="A7" s="393" t="str">
        <f>txtMunicipality</f>
        <v>DIEST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46225.534999999996</v>
      </c>
      <c r="D10" s="991">
        <f ca="1">tertiair!C16</f>
        <v>35.357142857142861</v>
      </c>
      <c r="E10" s="991">
        <f ca="1">tertiair!D16</f>
        <v>42171.275433786272</v>
      </c>
      <c r="F10" s="991">
        <f>tertiair!E16</f>
        <v>437.25398848196909</v>
      </c>
      <c r="G10" s="991">
        <f ca="1">tertiair!F16</f>
        <v>6328.9606893872151</v>
      </c>
      <c r="H10" s="991">
        <f>tertiair!G16</f>
        <v>0</v>
      </c>
      <c r="I10" s="991">
        <f>tertiair!H16</f>
        <v>0</v>
      </c>
      <c r="J10" s="991">
        <f>tertiair!I16</f>
        <v>0</v>
      </c>
      <c r="K10" s="991">
        <f>tertiair!J16</f>
        <v>0</v>
      </c>
      <c r="L10" s="991">
        <f>tertiair!K16</f>
        <v>0</v>
      </c>
      <c r="M10" s="991">
        <f ca="1">tertiair!L16</f>
        <v>0</v>
      </c>
      <c r="N10" s="991">
        <f>tertiair!M16</f>
        <v>0</v>
      </c>
      <c r="O10" s="991">
        <f ca="1">tertiair!N16</f>
        <v>2476.6468543949932</v>
      </c>
      <c r="P10" s="991">
        <f>tertiair!O16</f>
        <v>3.1266666666666669</v>
      </c>
      <c r="Q10" s="992">
        <f>tertiair!P16</f>
        <v>0</v>
      </c>
      <c r="R10" s="675">
        <f ca="1">SUM(C10:Q10)</f>
        <v>97678.15577557424</v>
      </c>
      <c r="S10" s="67"/>
    </row>
    <row r="11" spans="1:19" s="448" customFormat="1">
      <c r="A11" s="784" t="s">
        <v>224</v>
      </c>
      <c r="B11" s="789"/>
      <c r="C11" s="991">
        <f>huishoudens!B8</f>
        <v>39988.975072621171</v>
      </c>
      <c r="D11" s="991">
        <f>huishoudens!C8</f>
        <v>0</v>
      </c>
      <c r="E11" s="991">
        <f>huishoudens!D8</f>
        <v>63424.758860119618</v>
      </c>
      <c r="F11" s="991">
        <f>huishoudens!E8</f>
        <v>18965.050723153785</v>
      </c>
      <c r="G11" s="991">
        <f>huishoudens!F8</f>
        <v>66229.784787012875</v>
      </c>
      <c r="H11" s="991">
        <f>huishoudens!G8</f>
        <v>0</v>
      </c>
      <c r="I11" s="991">
        <f>huishoudens!H8</f>
        <v>0</v>
      </c>
      <c r="J11" s="991">
        <f>huishoudens!I8</f>
        <v>0</v>
      </c>
      <c r="K11" s="991">
        <f>huishoudens!J8</f>
        <v>0</v>
      </c>
      <c r="L11" s="991">
        <f>huishoudens!K8</f>
        <v>0</v>
      </c>
      <c r="M11" s="991">
        <f>huishoudens!L8</f>
        <v>0</v>
      </c>
      <c r="N11" s="991">
        <f>huishoudens!M8</f>
        <v>0</v>
      </c>
      <c r="O11" s="991">
        <f>huishoudens!N8</f>
        <v>8366.5785425313443</v>
      </c>
      <c r="P11" s="991">
        <f>huishoudens!O8</f>
        <v>273.58333333333331</v>
      </c>
      <c r="Q11" s="992">
        <f>huishoudens!P8</f>
        <v>743.6</v>
      </c>
      <c r="R11" s="675">
        <f>SUM(C11:Q11)</f>
        <v>197992.33131877214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26738.150442857146</v>
      </c>
      <c r="D13" s="991">
        <f>industrie!C18</f>
        <v>0</v>
      </c>
      <c r="E13" s="991">
        <f>industrie!D18</f>
        <v>16714.50270879559</v>
      </c>
      <c r="F13" s="991">
        <f>industrie!E18</f>
        <v>4742.312209793331</v>
      </c>
      <c r="G13" s="991">
        <f>industrie!F18</f>
        <v>20777.031224848895</v>
      </c>
      <c r="H13" s="991">
        <f>industrie!G18</f>
        <v>0</v>
      </c>
      <c r="I13" s="991">
        <f>industrie!H18</f>
        <v>0</v>
      </c>
      <c r="J13" s="991">
        <f>industrie!I18</f>
        <v>0</v>
      </c>
      <c r="K13" s="991">
        <f>industrie!J18</f>
        <v>78.784632002531978</v>
      </c>
      <c r="L13" s="991">
        <f>industrie!K18</f>
        <v>0</v>
      </c>
      <c r="M13" s="991">
        <f>industrie!L18</f>
        <v>0</v>
      </c>
      <c r="N13" s="991">
        <f>industrie!M18</f>
        <v>0</v>
      </c>
      <c r="O13" s="991">
        <f>industrie!N18</f>
        <v>3280.1921964588532</v>
      </c>
      <c r="P13" s="991">
        <f>industrie!O18</f>
        <v>0</v>
      </c>
      <c r="Q13" s="992">
        <f>industrie!P18</f>
        <v>0</v>
      </c>
      <c r="R13" s="675">
        <f>SUM(C13:Q13)</f>
        <v>72330.973414756343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112952.66051547832</v>
      </c>
      <c r="D16" s="707">
        <f t="shared" ref="D16:R16" ca="1" si="0">SUM(D9:D15)</f>
        <v>35.357142857142861</v>
      </c>
      <c r="E16" s="707">
        <f t="shared" ca="1" si="0"/>
        <v>122310.53700270149</v>
      </c>
      <c r="F16" s="707">
        <f t="shared" si="0"/>
        <v>24144.616921429086</v>
      </c>
      <c r="G16" s="707">
        <f t="shared" ca="1" si="0"/>
        <v>93335.776701248978</v>
      </c>
      <c r="H16" s="707">
        <f t="shared" si="0"/>
        <v>0</v>
      </c>
      <c r="I16" s="707">
        <f t="shared" si="0"/>
        <v>0</v>
      </c>
      <c r="J16" s="707">
        <f t="shared" si="0"/>
        <v>0</v>
      </c>
      <c r="K16" s="707">
        <f t="shared" si="0"/>
        <v>78.784632002531978</v>
      </c>
      <c r="L16" s="707">
        <f t="shared" si="0"/>
        <v>0</v>
      </c>
      <c r="M16" s="707">
        <f t="shared" ca="1" si="0"/>
        <v>0</v>
      </c>
      <c r="N16" s="707">
        <f t="shared" si="0"/>
        <v>0</v>
      </c>
      <c r="O16" s="707">
        <f t="shared" ca="1" si="0"/>
        <v>14123.417593385189</v>
      </c>
      <c r="P16" s="707">
        <f t="shared" si="0"/>
        <v>276.70999999999998</v>
      </c>
      <c r="Q16" s="707">
        <f t="shared" si="0"/>
        <v>743.6</v>
      </c>
      <c r="R16" s="707">
        <f t="shared" ca="1" si="0"/>
        <v>368001.46050910273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2985.5640452632156</v>
      </c>
      <c r="I19" s="991">
        <f>transport!H54</f>
        <v>0</v>
      </c>
      <c r="J19" s="991">
        <f>transport!I54</f>
        <v>0</v>
      </c>
      <c r="K19" s="991">
        <f>transport!J54</f>
        <v>0</v>
      </c>
      <c r="L19" s="991">
        <f>transport!K54</f>
        <v>0</v>
      </c>
      <c r="M19" s="991">
        <f>transport!L54</f>
        <v>0</v>
      </c>
      <c r="N19" s="991">
        <f>transport!M54</f>
        <v>170.64575364240676</v>
      </c>
      <c r="O19" s="991">
        <f>transport!N54</f>
        <v>0</v>
      </c>
      <c r="P19" s="991">
        <f>transport!O54</f>
        <v>0</v>
      </c>
      <c r="Q19" s="992">
        <f>transport!P54</f>
        <v>0</v>
      </c>
      <c r="R19" s="675">
        <f>SUM(C19:Q19)</f>
        <v>3156.2097989056224</v>
      </c>
      <c r="S19" s="67"/>
    </row>
    <row r="20" spans="1:19" s="448" customFormat="1">
      <c r="A20" s="784" t="s">
        <v>306</v>
      </c>
      <c r="B20" s="789"/>
      <c r="C20" s="991">
        <f>transport!B14</f>
        <v>19.012107887151263</v>
      </c>
      <c r="D20" s="991">
        <f>transport!C14</f>
        <v>0</v>
      </c>
      <c r="E20" s="991">
        <f>transport!D14</f>
        <v>35.780947322178285</v>
      </c>
      <c r="F20" s="991">
        <f>transport!E14</f>
        <v>361.58157797460876</v>
      </c>
      <c r="G20" s="991">
        <f>transport!F14</f>
        <v>0</v>
      </c>
      <c r="H20" s="991">
        <f>transport!G14</f>
        <v>115146.99807968571</v>
      </c>
      <c r="I20" s="991">
        <f>transport!H14</f>
        <v>21999.219137422129</v>
      </c>
      <c r="J20" s="991">
        <f>transport!I14</f>
        <v>0</v>
      </c>
      <c r="K20" s="991">
        <f>transport!J14</f>
        <v>0</v>
      </c>
      <c r="L20" s="991">
        <f>transport!K14</f>
        <v>0</v>
      </c>
      <c r="M20" s="991">
        <f>transport!L14</f>
        <v>0</v>
      </c>
      <c r="N20" s="991">
        <f>transport!M14</f>
        <v>7346.9341745577522</v>
      </c>
      <c r="O20" s="991">
        <f>transport!N14</f>
        <v>0</v>
      </c>
      <c r="P20" s="991">
        <f>transport!O14</f>
        <v>0</v>
      </c>
      <c r="Q20" s="992">
        <f>transport!P14</f>
        <v>0</v>
      </c>
      <c r="R20" s="675">
        <f>SUM(C20:Q20)</f>
        <v>144909.5260248495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19.012107887151263</v>
      </c>
      <c r="D22" s="787">
        <f t="shared" ref="D22:R22" si="1">SUM(D18:D21)</f>
        <v>0</v>
      </c>
      <c r="E22" s="787">
        <f t="shared" si="1"/>
        <v>35.780947322178285</v>
      </c>
      <c r="F22" s="787">
        <f t="shared" si="1"/>
        <v>361.58157797460876</v>
      </c>
      <c r="G22" s="787">
        <f t="shared" si="1"/>
        <v>0</v>
      </c>
      <c r="H22" s="787">
        <f t="shared" si="1"/>
        <v>118132.56212494893</v>
      </c>
      <c r="I22" s="787">
        <f t="shared" si="1"/>
        <v>21999.219137422129</v>
      </c>
      <c r="J22" s="787">
        <f t="shared" si="1"/>
        <v>0</v>
      </c>
      <c r="K22" s="787">
        <f t="shared" si="1"/>
        <v>0</v>
      </c>
      <c r="L22" s="787">
        <f t="shared" si="1"/>
        <v>0</v>
      </c>
      <c r="M22" s="787">
        <f t="shared" si="1"/>
        <v>0</v>
      </c>
      <c r="N22" s="787">
        <f t="shared" si="1"/>
        <v>7517.579928200159</v>
      </c>
      <c r="O22" s="787">
        <f t="shared" si="1"/>
        <v>0</v>
      </c>
      <c r="P22" s="787">
        <f t="shared" si="1"/>
        <v>0</v>
      </c>
      <c r="Q22" s="787">
        <f t="shared" si="1"/>
        <v>0</v>
      </c>
      <c r="R22" s="787">
        <f t="shared" si="1"/>
        <v>148065.73582375512</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1380.886</v>
      </c>
      <c r="D24" s="991">
        <f>+landbouw!C8</f>
        <v>20250</v>
      </c>
      <c r="E24" s="991">
        <f>+landbouw!D8</f>
        <v>0</v>
      </c>
      <c r="F24" s="991">
        <f>+landbouw!E8</f>
        <v>12.79034450022152</v>
      </c>
      <c r="G24" s="991">
        <f>+landbouw!F8</f>
        <v>3503.5708405130445</v>
      </c>
      <c r="H24" s="991">
        <f>+landbouw!G8</f>
        <v>0</v>
      </c>
      <c r="I24" s="991">
        <f>+landbouw!H8</f>
        <v>0</v>
      </c>
      <c r="J24" s="991">
        <f>+landbouw!I8</f>
        <v>0</v>
      </c>
      <c r="K24" s="991">
        <f>+landbouw!J8</f>
        <v>211.70523453273771</v>
      </c>
      <c r="L24" s="991">
        <f>+landbouw!K8</f>
        <v>0</v>
      </c>
      <c r="M24" s="991">
        <f>+landbouw!L8</f>
        <v>0</v>
      </c>
      <c r="N24" s="991">
        <f>+landbouw!M8</f>
        <v>0</v>
      </c>
      <c r="O24" s="991">
        <f>+landbouw!N8</f>
        <v>0</v>
      </c>
      <c r="P24" s="991">
        <f>+landbouw!O8</f>
        <v>0</v>
      </c>
      <c r="Q24" s="992">
        <f>+landbouw!P8</f>
        <v>0</v>
      </c>
      <c r="R24" s="675">
        <f>SUM(C24:Q24)</f>
        <v>25358.952419546004</v>
      </c>
      <c r="S24" s="67"/>
    </row>
    <row r="25" spans="1:19" s="448" customFormat="1" ht="15" thickBot="1">
      <c r="A25" s="806" t="s">
        <v>849</v>
      </c>
      <c r="B25" s="994"/>
      <c r="C25" s="995">
        <f>IF(Onbekend_ele_kWh="---",0,Onbekend_ele_kWh)/1000+IF(REST_rest_ele_kWh="---",0,REST_rest_ele_kWh)/1000</f>
        <v>1579.749</v>
      </c>
      <c r="D25" s="995"/>
      <c r="E25" s="995">
        <f>IF(onbekend_gas_kWh="---",0,onbekend_gas_kWh)/1000+IF(REST_rest_gas_kWh="---",0,REST_rest_gas_kWh)/1000</f>
        <v>5759.8663635064295</v>
      </c>
      <c r="F25" s="995"/>
      <c r="G25" s="995"/>
      <c r="H25" s="995"/>
      <c r="I25" s="995"/>
      <c r="J25" s="995"/>
      <c r="K25" s="995"/>
      <c r="L25" s="995"/>
      <c r="M25" s="995"/>
      <c r="N25" s="995"/>
      <c r="O25" s="995"/>
      <c r="P25" s="995"/>
      <c r="Q25" s="996"/>
      <c r="R25" s="675">
        <f>SUM(C25:Q25)</f>
        <v>7339.6153635064293</v>
      </c>
      <c r="S25" s="67"/>
    </row>
    <row r="26" spans="1:19" s="448" customFormat="1" ht="15.75" thickBot="1">
      <c r="A26" s="680" t="s">
        <v>850</v>
      </c>
      <c r="B26" s="792"/>
      <c r="C26" s="787">
        <f>SUM(C24:C25)</f>
        <v>2960.6350000000002</v>
      </c>
      <c r="D26" s="787">
        <f t="shared" ref="D26:R26" si="2">SUM(D24:D25)</f>
        <v>20250</v>
      </c>
      <c r="E26" s="787">
        <f t="shared" si="2"/>
        <v>5759.8663635064295</v>
      </c>
      <c r="F26" s="787">
        <f t="shared" si="2"/>
        <v>12.79034450022152</v>
      </c>
      <c r="G26" s="787">
        <f t="shared" si="2"/>
        <v>3503.5708405130445</v>
      </c>
      <c r="H26" s="787">
        <f t="shared" si="2"/>
        <v>0</v>
      </c>
      <c r="I26" s="787">
        <f t="shared" si="2"/>
        <v>0</v>
      </c>
      <c r="J26" s="787">
        <f t="shared" si="2"/>
        <v>0</v>
      </c>
      <c r="K26" s="787">
        <f t="shared" si="2"/>
        <v>211.70523453273771</v>
      </c>
      <c r="L26" s="787">
        <f t="shared" si="2"/>
        <v>0</v>
      </c>
      <c r="M26" s="787">
        <f t="shared" si="2"/>
        <v>0</v>
      </c>
      <c r="N26" s="787">
        <f t="shared" si="2"/>
        <v>0</v>
      </c>
      <c r="O26" s="787">
        <f t="shared" si="2"/>
        <v>0</v>
      </c>
      <c r="P26" s="787">
        <f t="shared" si="2"/>
        <v>0</v>
      </c>
      <c r="Q26" s="787">
        <f t="shared" si="2"/>
        <v>0</v>
      </c>
      <c r="R26" s="787">
        <f t="shared" si="2"/>
        <v>32698.567783052433</v>
      </c>
      <c r="S26" s="67"/>
    </row>
    <row r="27" spans="1:19" s="448" customFormat="1" ht="17.25" thickTop="1" thickBot="1">
      <c r="A27" s="681" t="s">
        <v>115</v>
      </c>
      <c r="B27" s="780"/>
      <c r="C27" s="682">
        <f ca="1">C22+C16+C26</f>
        <v>115932.30762336546</v>
      </c>
      <c r="D27" s="682">
        <f t="shared" ref="D27:R27" ca="1" si="3">D22+D16+D26</f>
        <v>20285.357142857141</v>
      </c>
      <c r="E27" s="682">
        <f t="shared" ca="1" si="3"/>
        <v>128106.18431353009</v>
      </c>
      <c r="F27" s="682">
        <f t="shared" si="3"/>
        <v>24518.988843903917</v>
      </c>
      <c r="G27" s="682">
        <f t="shared" ca="1" si="3"/>
        <v>96839.347541762021</v>
      </c>
      <c r="H27" s="682">
        <f t="shared" si="3"/>
        <v>118132.56212494893</v>
      </c>
      <c r="I27" s="682">
        <f t="shared" si="3"/>
        <v>21999.219137422129</v>
      </c>
      <c r="J27" s="682">
        <f t="shared" si="3"/>
        <v>0</v>
      </c>
      <c r="K27" s="682">
        <f t="shared" si="3"/>
        <v>290.4898665352697</v>
      </c>
      <c r="L27" s="682">
        <f t="shared" si="3"/>
        <v>0</v>
      </c>
      <c r="M27" s="682">
        <f t="shared" ca="1" si="3"/>
        <v>0</v>
      </c>
      <c r="N27" s="682">
        <f t="shared" si="3"/>
        <v>7517.579928200159</v>
      </c>
      <c r="O27" s="682">
        <f t="shared" ca="1" si="3"/>
        <v>14123.417593385189</v>
      </c>
      <c r="P27" s="682">
        <f t="shared" si="3"/>
        <v>276.70999999999998</v>
      </c>
      <c r="Q27" s="682">
        <f t="shared" si="3"/>
        <v>743.6</v>
      </c>
      <c r="R27" s="682">
        <f t="shared" ca="1" si="3"/>
        <v>548765.76411591028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7744.3039949535269</v>
      </c>
      <c r="D40" s="991">
        <f ca="1">tertiair!C20</f>
        <v>8.4025210084033617</v>
      </c>
      <c r="E40" s="991">
        <f ca="1">tertiair!D20</f>
        <v>8518.5976376248273</v>
      </c>
      <c r="F40" s="991">
        <f>tertiair!E20</f>
        <v>99.256655385406987</v>
      </c>
      <c r="G40" s="991">
        <f ca="1">tertiair!F20</f>
        <v>1689.8325040663865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18060.393313038552</v>
      </c>
    </row>
    <row r="41" spans="1:18">
      <c r="A41" s="797" t="s">
        <v>224</v>
      </c>
      <c r="B41" s="804"/>
      <c r="C41" s="991">
        <f ca="1">huishoudens!B12</f>
        <v>6699.4742063882468</v>
      </c>
      <c r="D41" s="991">
        <f ca="1">huishoudens!C12</f>
        <v>0</v>
      </c>
      <c r="E41" s="991">
        <f>huishoudens!D12</f>
        <v>12811.801289744164</v>
      </c>
      <c r="F41" s="991">
        <f>huishoudens!E12</f>
        <v>4305.0665141559093</v>
      </c>
      <c r="G41" s="991">
        <f>huishoudens!F12</f>
        <v>17683.35253813244</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41499.694548420754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4479.523390963177</v>
      </c>
      <c r="D43" s="991">
        <f ca="1">industrie!C22</f>
        <v>0</v>
      </c>
      <c r="E43" s="991">
        <f>industrie!D22</f>
        <v>3376.3295471767092</v>
      </c>
      <c r="F43" s="991">
        <f>industrie!E22</f>
        <v>1076.5048716230863</v>
      </c>
      <c r="G43" s="991">
        <f>industrie!F22</f>
        <v>5547.4673370346554</v>
      </c>
      <c r="H43" s="991">
        <f>industrie!G22</f>
        <v>0</v>
      </c>
      <c r="I43" s="991">
        <f>industrie!H22</f>
        <v>0</v>
      </c>
      <c r="J43" s="991">
        <f>industrie!I22</f>
        <v>0</v>
      </c>
      <c r="K43" s="991">
        <f>industrie!J22</f>
        <v>27.889759728896319</v>
      </c>
      <c r="L43" s="991">
        <f>industrie!K22</f>
        <v>0</v>
      </c>
      <c r="M43" s="991">
        <f>industrie!L22</f>
        <v>0</v>
      </c>
      <c r="N43" s="991">
        <f>industrie!M22</f>
        <v>0</v>
      </c>
      <c r="O43" s="991">
        <f>industrie!N22</f>
        <v>0</v>
      </c>
      <c r="P43" s="991">
        <f>industrie!O22</f>
        <v>0</v>
      </c>
      <c r="Q43" s="749">
        <f>industrie!P22</f>
        <v>0</v>
      </c>
      <c r="R43" s="824">
        <f t="shared" ca="1" si="4"/>
        <v>14507.714906526524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18923.301592304953</v>
      </c>
      <c r="D46" s="707">
        <f t="shared" ref="D46:Q46" ca="1" si="5">SUM(D39:D45)</f>
        <v>8.4025210084033617</v>
      </c>
      <c r="E46" s="707">
        <f t="shared" ca="1" si="5"/>
        <v>24706.7284745457</v>
      </c>
      <c r="F46" s="707">
        <f t="shared" si="5"/>
        <v>5480.8280411644027</v>
      </c>
      <c r="G46" s="707">
        <f t="shared" ca="1" si="5"/>
        <v>24920.652379233485</v>
      </c>
      <c r="H46" s="707">
        <f t="shared" si="5"/>
        <v>0</v>
      </c>
      <c r="I46" s="707">
        <f t="shared" si="5"/>
        <v>0</v>
      </c>
      <c r="J46" s="707">
        <f t="shared" si="5"/>
        <v>0</v>
      </c>
      <c r="K46" s="707">
        <f t="shared" si="5"/>
        <v>27.889759728896319</v>
      </c>
      <c r="L46" s="707">
        <f t="shared" si="5"/>
        <v>0</v>
      </c>
      <c r="M46" s="707">
        <f t="shared" ca="1" si="5"/>
        <v>0</v>
      </c>
      <c r="N46" s="707">
        <f t="shared" si="5"/>
        <v>0</v>
      </c>
      <c r="O46" s="707">
        <f t="shared" ca="1" si="5"/>
        <v>0</v>
      </c>
      <c r="P46" s="707">
        <f t="shared" si="5"/>
        <v>0</v>
      </c>
      <c r="Q46" s="707">
        <f t="shared" si="5"/>
        <v>0</v>
      </c>
      <c r="R46" s="707">
        <f ca="1">SUM(R39:R45)</f>
        <v>74067.802767985835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797.1456000852786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797.1456000852786</v>
      </c>
    </row>
    <row r="50" spans="1:18">
      <c r="A50" s="800" t="s">
        <v>306</v>
      </c>
      <c r="B50" s="810"/>
      <c r="C50" s="678">
        <f ca="1">transport!B18</f>
        <v>3.1851560628330851</v>
      </c>
      <c r="D50" s="678">
        <f>transport!C18</f>
        <v>0</v>
      </c>
      <c r="E50" s="678">
        <f>transport!D18</f>
        <v>7.2277513590800142</v>
      </c>
      <c r="F50" s="678">
        <f>transport!E18</f>
        <v>82.079018200236192</v>
      </c>
      <c r="G50" s="678">
        <f>transport!F18</f>
        <v>0</v>
      </c>
      <c r="H50" s="678">
        <f>transport!G18</f>
        <v>30744.248487276087</v>
      </c>
      <c r="I50" s="678">
        <f>transport!H18</f>
        <v>5477.8055652181101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36314.545978116352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3.1851560628330851</v>
      </c>
      <c r="D52" s="707">
        <f t="shared" ref="D52:Q52" ca="1" si="6">SUM(D48:D51)</f>
        <v>0</v>
      </c>
      <c r="E52" s="707">
        <f t="shared" si="6"/>
        <v>7.2277513590800142</v>
      </c>
      <c r="F52" s="707">
        <f t="shared" si="6"/>
        <v>82.079018200236192</v>
      </c>
      <c r="G52" s="707">
        <f t="shared" si="6"/>
        <v>0</v>
      </c>
      <c r="H52" s="707">
        <f t="shared" si="6"/>
        <v>31541.394087361365</v>
      </c>
      <c r="I52" s="707">
        <f t="shared" si="6"/>
        <v>5477.8055652181101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37111.691578201629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231.34401724880837</v>
      </c>
      <c r="D54" s="678">
        <f ca="1">+landbouw!C12</f>
        <v>4812.3529411764703</v>
      </c>
      <c r="E54" s="678">
        <f>+landbouw!D12</f>
        <v>0</v>
      </c>
      <c r="F54" s="678">
        <f>+landbouw!E12</f>
        <v>2.9034082015502851</v>
      </c>
      <c r="G54" s="678">
        <f>+landbouw!F12</f>
        <v>935.45341441698292</v>
      </c>
      <c r="H54" s="678">
        <f>+landbouw!G12</f>
        <v>0</v>
      </c>
      <c r="I54" s="678">
        <f>+landbouw!H12</f>
        <v>0</v>
      </c>
      <c r="J54" s="678">
        <f>+landbouw!I12</f>
        <v>0</v>
      </c>
      <c r="K54" s="678">
        <f>+landbouw!J12</f>
        <v>74.943653024589139</v>
      </c>
      <c r="L54" s="678">
        <f>+landbouw!K12</f>
        <v>0</v>
      </c>
      <c r="M54" s="678">
        <f>+landbouw!L12</f>
        <v>0</v>
      </c>
      <c r="N54" s="678">
        <f>+landbouw!M12</f>
        <v>0</v>
      </c>
      <c r="O54" s="678">
        <f>+landbouw!N12</f>
        <v>0</v>
      </c>
      <c r="P54" s="678">
        <f>+landbouw!O12</f>
        <v>0</v>
      </c>
      <c r="Q54" s="679">
        <f>+landbouw!P12</f>
        <v>0</v>
      </c>
      <c r="R54" s="706">
        <f ca="1">SUM(C54:Q54)</f>
        <v>6056.9974340684012</v>
      </c>
    </row>
    <row r="55" spans="1:18" ht="15" thickBot="1">
      <c r="A55" s="800" t="s">
        <v>849</v>
      </c>
      <c r="B55" s="810"/>
      <c r="C55" s="678">
        <f ca="1">C25*'EF ele_warmte'!B12</f>
        <v>264.66013842184498</v>
      </c>
      <c r="D55" s="678"/>
      <c r="E55" s="678">
        <f>E25*EF_CO2_aardgas</f>
        <v>1163.4930054282988</v>
      </c>
      <c r="F55" s="678"/>
      <c r="G55" s="678"/>
      <c r="H55" s="678"/>
      <c r="I55" s="678"/>
      <c r="J55" s="678"/>
      <c r="K55" s="678"/>
      <c r="L55" s="678"/>
      <c r="M55" s="678"/>
      <c r="N55" s="678"/>
      <c r="O55" s="678"/>
      <c r="P55" s="678"/>
      <c r="Q55" s="679"/>
      <c r="R55" s="706">
        <f ca="1">SUM(C55:Q55)</f>
        <v>1428.1531438501438</v>
      </c>
    </row>
    <row r="56" spans="1:18" ht="15.75" thickBot="1">
      <c r="A56" s="798" t="s">
        <v>850</v>
      </c>
      <c r="B56" s="811"/>
      <c r="C56" s="707">
        <f ca="1">SUM(C54:C55)</f>
        <v>496.00415567065335</v>
      </c>
      <c r="D56" s="707">
        <f t="shared" ref="D56:Q56" ca="1" si="7">SUM(D54:D55)</f>
        <v>4812.3529411764703</v>
      </c>
      <c r="E56" s="707">
        <f t="shared" si="7"/>
        <v>1163.4930054282988</v>
      </c>
      <c r="F56" s="707">
        <f t="shared" si="7"/>
        <v>2.9034082015502851</v>
      </c>
      <c r="G56" s="707">
        <f t="shared" si="7"/>
        <v>935.45341441698292</v>
      </c>
      <c r="H56" s="707">
        <f t="shared" si="7"/>
        <v>0</v>
      </c>
      <c r="I56" s="707">
        <f t="shared" si="7"/>
        <v>0</v>
      </c>
      <c r="J56" s="707">
        <f t="shared" si="7"/>
        <v>0</v>
      </c>
      <c r="K56" s="707">
        <f t="shared" si="7"/>
        <v>74.943653024589139</v>
      </c>
      <c r="L56" s="707">
        <f t="shared" si="7"/>
        <v>0</v>
      </c>
      <c r="M56" s="707">
        <f t="shared" si="7"/>
        <v>0</v>
      </c>
      <c r="N56" s="707">
        <f t="shared" si="7"/>
        <v>0</v>
      </c>
      <c r="O56" s="707">
        <f t="shared" si="7"/>
        <v>0</v>
      </c>
      <c r="P56" s="707">
        <f t="shared" si="7"/>
        <v>0</v>
      </c>
      <c r="Q56" s="708">
        <f t="shared" si="7"/>
        <v>0</v>
      </c>
      <c r="R56" s="709">
        <f ca="1">SUM(R54:R55)</f>
        <v>7485.1505779185445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19422.490904038441</v>
      </c>
      <c r="D61" s="715">
        <f t="shared" ref="D61:Q61" ca="1" si="8">D46+D52+D56</f>
        <v>4820.755462184874</v>
      </c>
      <c r="E61" s="715">
        <f t="shared" ca="1" si="8"/>
        <v>25877.449231333081</v>
      </c>
      <c r="F61" s="715">
        <f t="shared" si="8"/>
        <v>5565.8104675661898</v>
      </c>
      <c r="G61" s="715">
        <f t="shared" ca="1" si="8"/>
        <v>25856.105793650466</v>
      </c>
      <c r="H61" s="715">
        <f t="shared" si="8"/>
        <v>31541.394087361365</v>
      </c>
      <c r="I61" s="715">
        <f t="shared" si="8"/>
        <v>5477.8055652181101</v>
      </c>
      <c r="J61" s="715">
        <f t="shared" si="8"/>
        <v>0</v>
      </c>
      <c r="K61" s="715">
        <f t="shared" si="8"/>
        <v>102.83341275348546</v>
      </c>
      <c r="L61" s="715">
        <f t="shared" si="8"/>
        <v>0</v>
      </c>
      <c r="M61" s="715">
        <f t="shared" ca="1" si="8"/>
        <v>0</v>
      </c>
      <c r="N61" s="715">
        <f t="shared" si="8"/>
        <v>0</v>
      </c>
      <c r="O61" s="715">
        <f t="shared" ca="1" si="8"/>
        <v>0</v>
      </c>
      <c r="P61" s="715">
        <f t="shared" si="8"/>
        <v>0</v>
      </c>
      <c r="Q61" s="715">
        <f t="shared" si="8"/>
        <v>0</v>
      </c>
      <c r="R61" s="715">
        <f ca="1">R46+R52+R56</f>
        <v>118664.644924106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0.16753303114725507</v>
      </c>
      <c r="D63" s="756">
        <f t="shared" ca="1" si="9"/>
        <v>0.23764705882352943</v>
      </c>
      <c r="E63" s="1002">
        <f t="shared" ca="1" si="9"/>
        <v>0.20200000000000001</v>
      </c>
      <c r="F63" s="756">
        <f t="shared" si="9"/>
        <v>0.22700000000000004</v>
      </c>
      <c r="G63" s="756">
        <f t="shared" ca="1" si="9"/>
        <v>0.26700000000000007</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16117.853777307973</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12999.490812080012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14199.75</v>
      </c>
      <c r="D76" s="1012">
        <f>'lokale energieproductie'!C8</f>
        <v>16705.588235294115</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3374.5288235294115</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29117.344589387983</v>
      </c>
      <c r="C78" s="730">
        <f>SUM(C72:C77)</f>
        <v>14199.75</v>
      </c>
      <c r="D78" s="731">
        <f t="shared" ref="D78:H78" si="10">SUM(D76:D77)</f>
        <v>16705.588235294115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3374.5288235294115</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20285.357142857141</v>
      </c>
      <c r="D87" s="752">
        <f>'lokale energieproductie'!C17</f>
        <v>23865.126050420164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4820.7554621848731</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20285.357142857141</v>
      </c>
      <c r="D90" s="730">
        <f t="shared" ref="D90:H90" si="12">SUM(D87:D89)</f>
        <v>23865.126050420164</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4820.7554621848731</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39988.975072621171</v>
      </c>
      <c r="C4" s="452">
        <f>huishoudens!C8</f>
        <v>0</v>
      </c>
      <c r="D4" s="452">
        <f>huishoudens!D8</f>
        <v>63424.758860119618</v>
      </c>
      <c r="E4" s="452">
        <f>huishoudens!E8</f>
        <v>18965.050723153785</v>
      </c>
      <c r="F4" s="452">
        <f>huishoudens!F8</f>
        <v>66229.784787012875</v>
      </c>
      <c r="G4" s="452">
        <f>huishoudens!G8</f>
        <v>0</v>
      </c>
      <c r="H4" s="452">
        <f>huishoudens!H8</f>
        <v>0</v>
      </c>
      <c r="I4" s="452">
        <f>huishoudens!I8</f>
        <v>0</v>
      </c>
      <c r="J4" s="452">
        <f>huishoudens!J8</f>
        <v>0</v>
      </c>
      <c r="K4" s="452">
        <f>huishoudens!K8</f>
        <v>0</v>
      </c>
      <c r="L4" s="452">
        <f>huishoudens!L8</f>
        <v>0</v>
      </c>
      <c r="M4" s="452">
        <f>huishoudens!M8</f>
        <v>0</v>
      </c>
      <c r="N4" s="452">
        <f>huishoudens!N8</f>
        <v>8366.5785425313443</v>
      </c>
      <c r="O4" s="452">
        <f>huishoudens!O8</f>
        <v>273.58333333333331</v>
      </c>
      <c r="P4" s="453">
        <f>huishoudens!P8</f>
        <v>743.6</v>
      </c>
      <c r="Q4" s="454">
        <f>SUM(B4:P4)</f>
        <v>197992.33131877214</v>
      </c>
    </row>
    <row r="5" spans="1:17">
      <c r="A5" s="451" t="s">
        <v>155</v>
      </c>
      <c r="B5" s="452">
        <f ca="1">tertiair!B16</f>
        <v>44215.404999999999</v>
      </c>
      <c r="C5" s="452">
        <f ca="1">tertiair!C16</f>
        <v>35.357142857142861</v>
      </c>
      <c r="D5" s="452">
        <f ca="1">tertiair!D16</f>
        <v>42171.275433786272</v>
      </c>
      <c r="E5" s="452">
        <f>tertiair!E16</f>
        <v>437.25398848196909</v>
      </c>
      <c r="F5" s="452">
        <f ca="1">tertiair!F16</f>
        <v>6328.9606893872151</v>
      </c>
      <c r="G5" s="452">
        <f>tertiair!G16</f>
        <v>0</v>
      </c>
      <c r="H5" s="452">
        <f>tertiair!H16</f>
        <v>0</v>
      </c>
      <c r="I5" s="452">
        <f>tertiair!I16</f>
        <v>0</v>
      </c>
      <c r="J5" s="452">
        <f>tertiair!J16</f>
        <v>0</v>
      </c>
      <c r="K5" s="452">
        <f>tertiair!K16</f>
        <v>0</v>
      </c>
      <c r="L5" s="452">
        <f ca="1">tertiair!L16</f>
        <v>0</v>
      </c>
      <c r="M5" s="452">
        <f>tertiair!M16</f>
        <v>0</v>
      </c>
      <c r="N5" s="452">
        <f ca="1">tertiair!N16</f>
        <v>2476.6468543949932</v>
      </c>
      <c r="O5" s="452">
        <f>tertiair!O16</f>
        <v>3.1266666666666669</v>
      </c>
      <c r="P5" s="453">
        <f>tertiair!P16</f>
        <v>0</v>
      </c>
      <c r="Q5" s="451">
        <f t="shared" ref="Q5:Q14" ca="1" si="0">SUM(B5:P5)</f>
        <v>95668.02577557425</v>
      </c>
    </row>
    <row r="6" spans="1:17">
      <c r="A6" s="451" t="s">
        <v>193</v>
      </c>
      <c r="B6" s="452">
        <f>'openbare verlichting'!B8</f>
        <v>2010.13</v>
      </c>
      <c r="C6" s="452"/>
      <c r="D6" s="452"/>
      <c r="E6" s="452"/>
      <c r="F6" s="452"/>
      <c r="G6" s="452"/>
      <c r="H6" s="452"/>
      <c r="I6" s="452"/>
      <c r="J6" s="452"/>
      <c r="K6" s="452"/>
      <c r="L6" s="452"/>
      <c r="M6" s="452"/>
      <c r="N6" s="452"/>
      <c r="O6" s="452"/>
      <c r="P6" s="453"/>
      <c r="Q6" s="451">
        <f t="shared" si="0"/>
        <v>2010.13</v>
      </c>
    </row>
    <row r="7" spans="1:17">
      <c r="A7" s="451" t="s">
        <v>111</v>
      </c>
      <c r="B7" s="452">
        <f>landbouw!B8</f>
        <v>1380.886</v>
      </c>
      <c r="C7" s="452">
        <f>landbouw!C8</f>
        <v>20250</v>
      </c>
      <c r="D7" s="452">
        <f>landbouw!D8</f>
        <v>0</v>
      </c>
      <c r="E7" s="452">
        <f>landbouw!E8</f>
        <v>12.79034450022152</v>
      </c>
      <c r="F7" s="452">
        <f>landbouw!F8</f>
        <v>3503.5708405130445</v>
      </c>
      <c r="G7" s="452">
        <f>landbouw!G8</f>
        <v>0</v>
      </c>
      <c r="H7" s="452">
        <f>landbouw!H8</f>
        <v>0</v>
      </c>
      <c r="I7" s="452">
        <f>landbouw!I8</f>
        <v>0</v>
      </c>
      <c r="J7" s="452">
        <f>landbouw!J8</f>
        <v>211.70523453273771</v>
      </c>
      <c r="K7" s="452">
        <f>landbouw!K8</f>
        <v>0</v>
      </c>
      <c r="L7" s="452">
        <f>landbouw!L8</f>
        <v>0</v>
      </c>
      <c r="M7" s="452">
        <f>landbouw!M8</f>
        <v>0</v>
      </c>
      <c r="N7" s="452">
        <f>landbouw!N8</f>
        <v>0</v>
      </c>
      <c r="O7" s="452">
        <f>landbouw!O8</f>
        <v>0</v>
      </c>
      <c r="P7" s="453">
        <f>landbouw!P8</f>
        <v>0</v>
      </c>
      <c r="Q7" s="451">
        <f t="shared" si="0"/>
        <v>25358.952419546004</v>
      </c>
    </row>
    <row r="8" spans="1:17">
      <c r="A8" s="451" t="s">
        <v>649</v>
      </c>
      <c r="B8" s="452">
        <f>industrie!B18</f>
        <v>26738.150442857146</v>
      </c>
      <c r="C8" s="452">
        <f>industrie!C18</f>
        <v>0</v>
      </c>
      <c r="D8" s="452">
        <f>industrie!D18</f>
        <v>16714.50270879559</v>
      </c>
      <c r="E8" s="452">
        <f>industrie!E18</f>
        <v>4742.312209793331</v>
      </c>
      <c r="F8" s="452">
        <f>industrie!F18</f>
        <v>20777.031224848895</v>
      </c>
      <c r="G8" s="452">
        <f>industrie!G18</f>
        <v>0</v>
      </c>
      <c r="H8" s="452">
        <f>industrie!H18</f>
        <v>0</v>
      </c>
      <c r="I8" s="452">
        <f>industrie!I18</f>
        <v>0</v>
      </c>
      <c r="J8" s="452">
        <f>industrie!J18</f>
        <v>78.784632002531978</v>
      </c>
      <c r="K8" s="452">
        <f>industrie!K18</f>
        <v>0</v>
      </c>
      <c r="L8" s="452">
        <f>industrie!L18</f>
        <v>0</v>
      </c>
      <c r="M8" s="452">
        <f>industrie!M18</f>
        <v>0</v>
      </c>
      <c r="N8" s="452">
        <f>industrie!N18</f>
        <v>3280.1921964588532</v>
      </c>
      <c r="O8" s="452">
        <f>industrie!O18</f>
        <v>0</v>
      </c>
      <c r="P8" s="453">
        <f>industrie!P18</f>
        <v>0</v>
      </c>
      <c r="Q8" s="451">
        <f t="shared" si="0"/>
        <v>72330.973414756343</v>
      </c>
    </row>
    <row r="9" spans="1:17" s="457" customFormat="1">
      <c r="A9" s="455" t="s">
        <v>570</v>
      </c>
      <c r="B9" s="456">
        <f>transport!B14</f>
        <v>19.012107887151263</v>
      </c>
      <c r="C9" s="456">
        <f>transport!C14</f>
        <v>0</v>
      </c>
      <c r="D9" s="456">
        <f>transport!D14</f>
        <v>35.780947322178285</v>
      </c>
      <c r="E9" s="456">
        <f>transport!E14</f>
        <v>361.58157797460876</v>
      </c>
      <c r="F9" s="456">
        <f>transport!F14</f>
        <v>0</v>
      </c>
      <c r="G9" s="456">
        <f>transport!G14</f>
        <v>115146.99807968571</v>
      </c>
      <c r="H9" s="456">
        <f>transport!H14</f>
        <v>21999.219137422129</v>
      </c>
      <c r="I9" s="456">
        <f>transport!I14</f>
        <v>0</v>
      </c>
      <c r="J9" s="456">
        <f>transport!J14</f>
        <v>0</v>
      </c>
      <c r="K9" s="456">
        <f>transport!K14</f>
        <v>0</v>
      </c>
      <c r="L9" s="456">
        <f>transport!L14</f>
        <v>0</v>
      </c>
      <c r="M9" s="456">
        <f>transport!M14</f>
        <v>7346.9341745577522</v>
      </c>
      <c r="N9" s="456">
        <f>transport!N14</f>
        <v>0</v>
      </c>
      <c r="O9" s="456">
        <f>transport!O14</f>
        <v>0</v>
      </c>
      <c r="P9" s="456">
        <f>transport!P14</f>
        <v>0</v>
      </c>
      <c r="Q9" s="455">
        <f>SUM(B9:P9)</f>
        <v>144909.5260248495</v>
      </c>
    </row>
    <row r="10" spans="1:17">
      <c r="A10" s="451" t="s">
        <v>560</v>
      </c>
      <c r="B10" s="452">
        <f>transport!B54</f>
        <v>0</v>
      </c>
      <c r="C10" s="452">
        <f>transport!C54</f>
        <v>0</v>
      </c>
      <c r="D10" s="452">
        <f>transport!D54</f>
        <v>0</v>
      </c>
      <c r="E10" s="452">
        <f>transport!E54</f>
        <v>0</v>
      </c>
      <c r="F10" s="452">
        <f>transport!F54</f>
        <v>0</v>
      </c>
      <c r="G10" s="452">
        <f>transport!G54</f>
        <v>2985.5640452632156</v>
      </c>
      <c r="H10" s="452">
        <f>transport!H54</f>
        <v>0</v>
      </c>
      <c r="I10" s="452">
        <f>transport!I54</f>
        <v>0</v>
      </c>
      <c r="J10" s="452">
        <f>transport!J54</f>
        <v>0</v>
      </c>
      <c r="K10" s="452">
        <f>transport!K54</f>
        <v>0</v>
      </c>
      <c r="L10" s="452">
        <f>transport!L54</f>
        <v>0</v>
      </c>
      <c r="M10" s="452">
        <f>transport!M54</f>
        <v>170.64575364240676</v>
      </c>
      <c r="N10" s="452">
        <f>transport!N54</f>
        <v>0</v>
      </c>
      <c r="O10" s="452">
        <f>transport!O54</f>
        <v>0</v>
      </c>
      <c r="P10" s="453">
        <f>transport!P54</f>
        <v>0</v>
      </c>
      <c r="Q10" s="451">
        <f t="shared" si="0"/>
        <v>3156.2097989056224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1579.749</v>
      </c>
      <c r="C14" s="459"/>
      <c r="D14" s="459">
        <f>'SEAP template'!E25</f>
        <v>5759.8663635064295</v>
      </c>
      <c r="E14" s="459"/>
      <c r="F14" s="459"/>
      <c r="G14" s="459"/>
      <c r="H14" s="459"/>
      <c r="I14" s="459"/>
      <c r="J14" s="459"/>
      <c r="K14" s="459"/>
      <c r="L14" s="459"/>
      <c r="M14" s="459"/>
      <c r="N14" s="459"/>
      <c r="O14" s="459"/>
      <c r="P14" s="460"/>
      <c r="Q14" s="451">
        <f t="shared" si="0"/>
        <v>7339.6153635064293</v>
      </c>
    </row>
    <row r="15" spans="1:17" s="461" customFormat="1">
      <c r="A15" s="1017" t="s">
        <v>564</v>
      </c>
      <c r="B15" s="957">
        <f ca="1">SUM(B4:B14)</f>
        <v>115932.30762336546</v>
      </c>
      <c r="C15" s="957">
        <f t="shared" ref="C15:Q15" ca="1" si="1">SUM(C4:C14)</f>
        <v>20285.357142857141</v>
      </c>
      <c r="D15" s="957">
        <f t="shared" ca="1" si="1"/>
        <v>128106.18431353009</v>
      </c>
      <c r="E15" s="957">
        <f t="shared" si="1"/>
        <v>24518.988843903917</v>
      </c>
      <c r="F15" s="957">
        <f t="shared" ca="1" si="1"/>
        <v>96839.347541762021</v>
      </c>
      <c r="G15" s="957">
        <f t="shared" si="1"/>
        <v>118132.56212494893</v>
      </c>
      <c r="H15" s="957">
        <f t="shared" si="1"/>
        <v>21999.219137422129</v>
      </c>
      <c r="I15" s="957">
        <f t="shared" si="1"/>
        <v>0</v>
      </c>
      <c r="J15" s="957">
        <f t="shared" si="1"/>
        <v>290.4898665352697</v>
      </c>
      <c r="K15" s="957">
        <f t="shared" si="1"/>
        <v>0</v>
      </c>
      <c r="L15" s="957">
        <f t="shared" ca="1" si="1"/>
        <v>0</v>
      </c>
      <c r="M15" s="957">
        <f t="shared" si="1"/>
        <v>7517.579928200159</v>
      </c>
      <c r="N15" s="957">
        <f t="shared" ca="1" si="1"/>
        <v>14123.417593385189</v>
      </c>
      <c r="O15" s="957">
        <f t="shared" si="1"/>
        <v>276.70999999999998</v>
      </c>
      <c r="P15" s="957">
        <f t="shared" si="1"/>
        <v>743.6</v>
      </c>
      <c r="Q15" s="957">
        <f t="shared" ca="1" si="1"/>
        <v>548765.7641159104</v>
      </c>
    </row>
    <row r="17" spans="1:17">
      <c r="A17" s="462" t="s">
        <v>565</v>
      </c>
      <c r="B17" s="761">
        <f ca="1">huishoudens!B10</f>
        <v>0.16753303114725501</v>
      </c>
      <c r="C17" s="761">
        <f ca="1">huishoudens!C10</f>
        <v>0.23764705882352938</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6699.4742063882468</v>
      </c>
      <c r="C22" s="452">
        <f t="shared" ref="C22:C32" ca="1" si="3">C4*$C$17</f>
        <v>0</v>
      </c>
      <c r="D22" s="452">
        <f t="shared" ref="D22:D32" si="4">D4*$D$17</f>
        <v>12811.801289744164</v>
      </c>
      <c r="E22" s="452">
        <f t="shared" ref="E22:E32" si="5">E4*$E$17</f>
        <v>4305.0665141559093</v>
      </c>
      <c r="F22" s="452">
        <f t="shared" ref="F22:F32" si="6">F4*$F$17</f>
        <v>17683.35253813244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41499.694548420754</v>
      </c>
    </row>
    <row r="23" spans="1:17">
      <c r="A23" s="451" t="s">
        <v>155</v>
      </c>
      <c r="B23" s="452">
        <f t="shared" ca="1" si="2"/>
        <v>7407.5408230534949</v>
      </c>
      <c r="C23" s="452">
        <f t="shared" ca="1" si="3"/>
        <v>8.4025210084033617</v>
      </c>
      <c r="D23" s="452">
        <f t="shared" ca="1" si="4"/>
        <v>8518.5976376248273</v>
      </c>
      <c r="E23" s="452">
        <f t="shared" si="5"/>
        <v>99.256655385406987</v>
      </c>
      <c r="F23" s="452">
        <f t="shared" ca="1" si="6"/>
        <v>1689.8325040663865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17723.630141138518</v>
      </c>
    </row>
    <row r="24" spans="1:17">
      <c r="A24" s="451" t="s">
        <v>193</v>
      </c>
      <c r="B24" s="452">
        <f t="shared" ca="1" si="2"/>
        <v>336.76317190003175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336.76317190003175</v>
      </c>
    </row>
    <row r="25" spans="1:17">
      <c r="A25" s="451" t="s">
        <v>111</v>
      </c>
      <c r="B25" s="452">
        <f t="shared" ca="1" si="2"/>
        <v>231.34401724880837</v>
      </c>
      <c r="C25" s="452">
        <f t="shared" ca="1" si="3"/>
        <v>4812.3529411764703</v>
      </c>
      <c r="D25" s="452">
        <f t="shared" si="4"/>
        <v>0</v>
      </c>
      <c r="E25" s="452">
        <f t="shared" si="5"/>
        <v>2.9034082015502851</v>
      </c>
      <c r="F25" s="452">
        <f t="shared" si="6"/>
        <v>935.45341441698292</v>
      </c>
      <c r="G25" s="452">
        <f t="shared" si="7"/>
        <v>0</v>
      </c>
      <c r="H25" s="452">
        <f t="shared" si="8"/>
        <v>0</v>
      </c>
      <c r="I25" s="452">
        <f t="shared" si="9"/>
        <v>0</v>
      </c>
      <c r="J25" s="452">
        <f t="shared" si="10"/>
        <v>74.943653024589139</v>
      </c>
      <c r="K25" s="452">
        <f t="shared" si="11"/>
        <v>0</v>
      </c>
      <c r="L25" s="452">
        <f t="shared" si="12"/>
        <v>0</v>
      </c>
      <c r="M25" s="452">
        <f t="shared" si="13"/>
        <v>0</v>
      </c>
      <c r="N25" s="452">
        <f t="shared" si="14"/>
        <v>0</v>
      </c>
      <c r="O25" s="452">
        <f t="shared" si="15"/>
        <v>0</v>
      </c>
      <c r="P25" s="453">
        <f t="shared" si="16"/>
        <v>0</v>
      </c>
      <c r="Q25" s="451">
        <f t="shared" ca="1" si="17"/>
        <v>6056.9974340684012</v>
      </c>
    </row>
    <row r="26" spans="1:17">
      <c r="A26" s="451" t="s">
        <v>649</v>
      </c>
      <c r="B26" s="452">
        <f t="shared" ca="1" si="2"/>
        <v>4479.523390963177</v>
      </c>
      <c r="C26" s="452">
        <f t="shared" ca="1" si="3"/>
        <v>0</v>
      </c>
      <c r="D26" s="452">
        <f t="shared" si="4"/>
        <v>3376.3295471767092</v>
      </c>
      <c r="E26" s="452">
        <f t="shared" si="5"/>
        <v>1076.5048716230863</v>
      </c>
      <c r="F26" s="452">
        <f t="shared" si="6"/>
        <v>5547.4673370346554</v>
      </c>
      <c r="G26" s="452">
        <f t="shared" si="7"/>
        <v>0</v>
      </c>
      <c r="H26" s="452">
        <f t="shared" si="8"/>
        <v>0</v>
      </c>
      <c r="I26" s="452">
        <f t="shared" si="9"/>
        <v>0</v>
      </c>
      <c r="J26" s="452">
        <f t="shared" si="10"/>
        <v>27.889759728896319</v>
      </c>
      <c r="K26" s="452">
        <f t="shared" si="11"/>
        <v>0</v>
      </c>
      <c r="L26" s="452">
        <f t="shared" si="12"/>
        <v>0</v>
      </c>
      <c r="M26" s="452">
        <f t="shared" si="13"/>
        <v>0</v>
      </c>
      <c r="N26" s="452">
        <f t="shared" si="14"/>
        <v>0</v>
      </c>
      <c r="O26" s="452">
        <f t="shared" si="15"/>
        <v>0</v>
      </c>
      <c r="P26" s="453">
        <f t="shared" si="16"/>
        <v>0</v>
      </c>
      <c r="Q26" s="451">
        <f t="shared" ca="1" si="17"/>
        <v>14507.714906526524</v>
      </c>
    </row>
    <row r="27" spans="1:17" s="457" customFormat="1">
      <c r="A27" s="455" t="s">
        <v>570</v>
      </c>
      <c r="B27" s="755">
        <f t="shared" ca="1" si="2"/>
        <v>3.1851560628330851</v>
      </c>
      <c r="C27" s="456">
        <f t="shared" ca="1" si="3"/>
        <v>0</v>
      </c>
      <c r="D27" s="456">
        <f t="shared" si="4"/>
        <v>7.2277513590800142</v>
      </c>
      <c r="E27" s="456">
        <f t="shared" si="5"/>
        <v>82.079018200236192</v>
      </c>
      <c r="F27" s="456">
        <f t="shared" si="6"/>
        <v>0</v>
      </c>
      <c r="G27" s="456">
        <f t="shared" si="7"/>
        <v>30744.248487276087</v>
      </c>
      <c r="H27" s="456">
        <f t="shared" si="8"/>
        <v>5477.8055652181101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36314.545978116352</v>
      </c>
    </row>
    <row r="28" spans="1:17">
      <c r="A28" s="451" t="s">
        <v>560</v>
      </c>
      <c r="B28" s="452">
        <f t="shared" ca="1" si="2"/>
        <v>0</v>
      </c>
      <c r="C28" s="452">
        <f t="shared" ca="1" si="3"/>
        <v>0</v>
      </c>
      <c r="D28" s="452">
        <f t="shared" si="4"/>
        <v>0</v>
      </c>
      <c r="E28" s="452">
        <f t="shared" si="5"/>
        <v>0</v>
      </c>
      <c r="F28" s="452">
        <f t="shared" si="6"/>
        <v>0</v>
      </c>
      <c r="G28" s="452">
        <f t="shared" si="7"/>
        <v>797.1456000852786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797.1456000852786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264.66013842184498</v>
      </c>
      <c r="C32" s="452">
        <f t="shared" ca="1" si="3"/>
        <v>0</v>
      </c>
      <c r="D32" s="452">
        <f t="shared" si="4"/>
        <v>1163.4930054282988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1428.1531438501438</v>
      </c>
    </row>
    <row r="33" spans="1:17" s="461" customFormat="1">
      <c r="A33" s="1017" t="s">
        <v>564</v>
      </c>
      <c r="B33" s="957">
        <f ca="1">SUM(B22:B32)</f>
        <v>19422.490904038437</v>
      </c>
      <c r="C33" s="957">
        <f t="shared" ref="C33:Q33" ca="1" si="18">SUM(C22:C32)</f>
        <v>4820.755462184874</v>
      </c>
      <c r="D33" s="957">
        <f t="shared" ca="1" si="18"/>
        <v>25877.449231333081</v>
      </c>
      <c r="E33" s="957">
        <f t="shared" si="18"/>
        <v>5565.8104675661889</v>
      </c>
      <c r="F33" s="957">
        <f t="shared" ca="1" si="18"/>
        <v>25856.105793650466</v>
      </c>
      <c r="G33" s="957">
        <f t="shared" si="18"/>
        <v>31541.394087361365</v>
      </c>
      <c r="H33" s="957">
        <f t="shared" si="18"/>
        <v>5477.8055652181101</v>
      </c>
      <c r="I33" s="957">
        <f t="shared" si="18"/>
        <v>0</v>
      </c>
      <c r="J33" s="957">
        <f t="shared" si="18"/>
        <v>102.83341275348546</v>
      </c>
      <c r="K33" s="957">
        <f t="shared" si="18"/>
        <v>0</v>
      </c>
      <c r="L33" s="957">
        <f t="shared" ca="1" si="18"/>
        <v>0</v>
      </c>
      <c r="M33" s="957">
        <f t="shared" si="18"/>
        <v>0</v>
      </c>
      <c r="N33" s="957">
        <f t="shared" ca="1" si="18"/>
        <v>0</v>
      </c>
      <c r="O33" s="957">
        <f t="shared" si="18"/>
        <v>0</v>
      </c>
      <c r="P33" s="957">
        <f t="shared" si="18"/>
        <v>0</v>
      </c>
      <c r="Q33" s="957">
        <f t="shared" ca="1" si="18"/>
        <v>118664.644924106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16117.853777307973</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12999.490812080012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14199.75</v>
      </c>
      <c r="D8" s="1034">
        <f>'SEAP template'!D76</f>
        <v>16705.588235294115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3374.5288235294115</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29117.344589387983</v>
      </c>
      <c r="C10" s="1038">
        <f>SUM(C4:C9)</f>
        <v>14199.75</v>
      </c>
      <c r="D10" s="1038">
        <f t="shared" ref="D10:H10" si="0">SUM(D8:D9)</f>
        <v>16705.588235294115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3374.5288235294115</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0.16753303114725501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20285.357142857141</v>
      </c>
      <c r="D17" s="1035">
        <f>'SEAP template'!D87</f>
        <v>23865.126050420164</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4820.7554621848731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20285.357142857141</v>
      </c>
      <c r="D20" s="1038">
        <f t="shared" ref="D20:H20" si="2">SUM(D17:D19)</f>
        <v>23865.126050420164</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4820.7554621848731</v>
      </c>
    </row>
    <row r="22" spans="1:16">
      <c r="A22" s="462" t="s">
        <v>873</v>
      </c>
      <c r="B22" s="761" t="s">
        <v>867</v>
      </c>
      <c r="C22" s="761">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0.16753303114725501</v>
      </c>
      <c r="C17" s="499">
        <f ca="1">'EF ele_warmte'!B22</f>
        <v>0.23764705882352938</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0.16753303114725501</v>
      </c>
      <c r="C17" s="499">
        <f ca="1">'EF ele_warmte'!B22</f>
        <v>0.23764705882352938</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0.16753303114725501</v>
      </c>
      <c r="C29" s="500">
        <f ca="1">'EF ele_warmte'!B22</f>
        <v>0.23764705882352938</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9922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2535</v>
      </c>
      <c r="C14" s="330"/>
      <c r="D14" s="330"/>
      <c r="E14" s="330"/>
      <c r="F14" s="330"/>
    </row>
    <row r="15" spans="1:6">
      <c r="A15" s="1305" t="s">
        <v>183</v>
      </c>
      <c r="B15" s="1306">
        <v>297</v>
      </c>
      <c r="C15" s="330"/>
      <c r="D15" s="330"/>
      <c r="E15" s="330"/>
      <c r="F15" s="330"/>
    </row>
    <row r="16" spans="1:6">
      <c r="A16" s="1305" t="s">
        <v>6</v>
      </c>
      <c r="B16" s="1306">
        <v>347</v>
      </c>
      <c r="C16" s="330"/>
      <c r="D16" s="330"/>
      <c r="E16" s="330"/>
      <c r="F16" s="330"/>
    </row>
    <row r="17" spans="1:6">
      <c r="A17" s="1305" t="s">
        <v>7</v>
      </c>
      <c r="B17" s="1306">
        <v>365</v>
      </c>
      <c r="C17" s="330"/>
      <c r="D17" s="330"/>
      <c r="E17" s="330"/>
      <c r="F17" s="330"/>
    </row>
    <row r="18" spans="1:6">
      <c r="A18" s="1305" t="s">
        <v>8</v>
      </c>
      <c r="B18" s="1306">
        <v>510</v>
      </c>
      <c r="C18" s="330"/>
      <c r="D18" s="330"/>
      <c r="E18" s="330"/>
      <c r="F18" s="330"/>
    </row>
    <row r="19" spans="1:6">
      <c r="A19" s="1305" t="s">
        <v>9</v>
      </c>
      <c r="B19" s="1306">
        <v>452</v>
      </c>
      <c r="C19" s="330"/>
      <c r="D19" s="330"/>
      <c r="E19" s="330"/>
      <c r="F19" s="330"/>
    </row>
    <row r="20" spans="1:6">
      <c r="A20" s="1305" t="s">
        <v>10</v>
      </c>
      <c r="B20" s="1306">
        <v>316</v>
      </c>
      <c r="C20" s="330"/>
      <c r="D20" s="330"/>
      <c r="E20" s="330"/>
      <c r="F20" s="330"/>
    </row>
    <row r="21" spans="1:6">
      <c r="A21" s="1305" t="s">
        <v>11</v>
      </c>
      <c r="B21" s="1306">
        <v>1743</v>
      </c>
      <c r="C21" s="330"/>
      <c r="D21" s="330"/>
      <c r="E21" s="330"/>
      <c r="F21" s="330"/>
    </row>
    <row r="22" spans="1:6">
      <c r="A22" s="1305" t="s">
        <v>12</v>
      </c>
      <c r="B22" s="1306">
        <v>7420</v>
      </c>
      <c r="C22" s="330"/>
      <c r="D22" s="330"/>
      <c r="E22" s="330"/>
      <c r="F22" s="330"/>
    </row>
    <row r="23" spans="1:6">
      <c r="A23" s="1305" t="s">
        <v>13</v>
      </c>
      <c r="B23" s="1306">
        <v>137</v>
      </c>
      <c r="C23" s="330"/>
      <c r="D23" s="330"/>
      <c r="E23" s="330"/>
      <c r="F23" s="330"/>
    </row>
    <row r="24" spans="1:6">
      <c r="A24" s="1305" t="s">
        <v>14</v>
      </c>
      <c r="B24" s="1306">
        <v>9</v>
      </c>
      <c r="C24" s="330"/>
      <c r="D24" s="330"/>
      <c r="E24" s="330"/>
      <c r="F24" s="330"/>
    </row>
    <row r="25" spans="1:6">
      <c r="A25" s="1305" t="s">
        <v>15</v>
      </c>
      <c r="B25" s="1306">
        <v>533</v>
      </c>
      <c r="C25" s="330"/>
      <c r="D25" s="330"/>
      <c r="E25" s="330"/>
      <c r="F25" s="330"/>
    </row>
    <row r="26" spans="1:6">
      <c r="A26" s="1305" t="s">
        <v>16</v>
      </c>
      <c r="B26" s="1306">
        <v>124</v>
      </c>
      <c r="C26" s="330"/>
      <c r="D26" s="330"/>
      <c r="E26" s="330"/>
      <c r="F26" s="330"/>
    </row>
    <row r="27" spans="1:6">
      <c r="A27" s="1305" t="s">
        <v>17</v>
      </c>
      <c r="B27" s="1306">
        <v>0</v>
      </c>
      <c r="C27" s="330"/>
      <c r="D27" s="330"/>
      <c r="E27" s="330"/>
      <c r="F27" s="330"/>
    </row>
    <row r="28" spans="1:6" s="43" customFormat="1">
      <c r="A28" s="1307" t="s">
        <v>18</v>
      </c>
      <c r="B28" s="1308">
        <v>148672</v>
      </c>
      <c r="C28" s="336"/>
      <c r="D28" s="336"/>
      <c r="E28" s="336"/>
      <c r="F28" s="336"/>
    </row>
    <row r="29" spans="1:6">
      <c r="A29" s="1307" t="s">
        <v>909</v>
      </c>
      <c r="B29" s="1308">
        <v>147</v>
      </c>
      <c r="C29" s="336"/>
      <c r="D29" s="336"/>
      <c r="E29" s="336"/>
      <c r="F29" s="336"/>
    </row>
    <row r="30" spans="1:6">
      <c r="A30" s="1300" t="s">
        <v>910</v>
      </c>
      <c r="B30" s="1309">
        <v>26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5</v>
      </c>
      <c r="F36" s="1306">
        <v>49758</v>
      </c>
    </row>
    <row r="37" spans="1:6">
      <c r="A37" s="1305" t="s">
        <v>24</v>
      </c>
      <c r="B37" s="1305" t="s">
        <v>27</v>
      </c>
      <c r="C37" s="1306">
        <v>0</v>
      </c>
      <c r="D37" s="1306">
        <v>0</v>
      </c>
      <c r="E37" s="1306">
        <v>3</v>
      </c>
      <c r="F37" s="1306">
        <v>48922</v>
      </c>
    </row>
    <row r="38" spans="1:6">
      <c r="A38" s="1305" t="s">
        <v>24</v>
      </c>
      <c r="B38" s="1305" t="s">
        <v>28</v>
      </c>
      <c r="C38" s="1306">
        <v>0</v>
      </c>
      <c r="D38" s="1306">
        <v>0</v>
      </c>
      <c r="E38" s="1306">
        <v>0</v>
      </c>
      <c r="F38" s="1306">
        <v>0</v>
      </c>
    </row>
    <row r="39" spans="1:6">
      <c r="A39" s="1305" t="s">
        <v>29</v>
      </c>
      <c r="B39" s="1305" t="s">
        <v>30</v>
      </c>
      <c r="C39" s="1306">
        <v>5189</v>
      </c>
      <c r="D39" s="1306">
        <v>70315697.1841681</v>
      </c>
      <c r="E39" s="1306">
        <v>10108</v>
      </c>
      <c r="F39" s="1306">
        <v>35395408</v>
      </c>
    </row>
    <row r="40" spans="1:6">
      <c r="A40" s="1305" t="s">
        <v>29</v>
      </c>
      <c r="B40" s="1305" t="s">
        <v>28</v>
      </c>
      <c r="C40" s="1306">
        <v>0</v>
      </c>
      <c r="D40" s="1306">
        <v>0</v>
      </c>
      <c r="E40" s="1306">
        <v>0</v>
      </c>
      <c r="F40" s="1306">
        <v>0</v>
      </c>
    </row>
    <row r="41" spans="1:6">
      <c r="A41" s="1305" t="s">
        <v>31</v>
      </c>
      <c r="B41" s="1305" t="s">
        <v>32</v>
      </c>
      <c r="C41" s="1306">
        <v>43</v>
      </c>
      <c r="D41" s="1306">
        <v>2751913.1252820701</v>
      </c>
      <c r="E41" s="1306">
        <v>179</v>
      </c>
      <c r="F41" s="1306">
        <v>16689114</v>
      </c>
    </row>
    <row r="42" spans="1:6">
      <c r="A42" s="1305" t="s">
        <v>31</v>
      </c>
      <c r="B42" s="1305" t="s">
        <v>33</v>
      </c>
      <c r="C42" s="1306">
        <v>0</v>
      </c>
      <c r="D42" s="1306">
        <v>0</v>
      </c>
      <c r="E42" s="1306">
        <v>3</v>
      </c>
      <c r="F42" s="1306">
        <v>5683</v>
      </c>
    </row>
    <row r="43" spans="1:6">
      <c r="A43" s="1305" t="s">
        <v>31</v>
      </c>
      <c r="B43" s="1305" t="s">
        <v>34</v>
      </c>
      <c r="C43" s="1306">
        <v>0</v>
      </c>
      <c r="D43" s="1306">
        <v>0</v>
      </c>
      <c r="E43" s="1306">
        <v>0</v>
      </c>
      <c r="F43" s="1306">
        <v>0</v>
      </c>
    </row>
    <row r="44" spans="1:6">
      <c r="A44" s="1305" t="s">
        <v>31</v>
      </c>
      <c r="B44" s="1305" t="s">
        <v>35</v>
      </c>
      <c r="C44" s="1306">
        <v>0</v>
      </c>
      <c r="D44" s="1306">
        <v>0</v>
      </c>
      <c r="E44" s="1306">
        <v>18</v>
      </c>
      <c r="F44" s="1306">
        <v>4521952.4428571425</v>
      </c>
    </row>
    <row r="45" spans="1:6">
      <c r="A45" s="1305" t="s">
        <v>31</v>
      </c>
      <c r="B45" s="1305" t="s">
        <v>36</v>
      </c>
      <c r="C45" s="1306">
        <v>0</v>
      </c>
      <c r="D45" s="1306">
        <v>0</v>
      </c>
      <c r="E45" s="1306">
        <v>12</v>
      </c>
      <c r="F45" s="1306">
        <v>544008</v>
      </c>
    </row>
    <row r="46" spans="1:6">
      <c r="A46" s="1305" t="s">
        <v>31</v>
      </c>
      <c r="B46" s="1305" t="s">
        <v>37</v>
      </c>
      <c r="C46" s="1306">
        <v>0</v>
      </c>
      <c r="D46" s="1306">
        <v>0</v>
      </c>
      <c r="E46" s="1306">
        <v>0</v>
      </c>
      <c r="F46" s="1306">
        <v>0</v>
      </c>
    </row>
    <row r="47" spans="1:6">
      <c r="A47" s="1305" t="s">
        <v>31</v>
      </c>
      <c r="B47" s="1305" t="s">
        <v>38</v>
      </c>
      <c r="C47" s="1306">
        <v>3</v>
      </c>
      <c r="D47" s="1306">
        <v>505592.27852660301</v>
      </c>
      <c r="E47" s="1306">
        <v>10</v>
      </c>
      <c r="F47" s="1306">
        <v>1503315</v>
      </c>
    </row>
    <row r="48" spans="1:6">
      <c r="A48" s="1305" t="s">
        <v>31</v>
      </c>
      <c r="B48" s="1305" t="s">
        <v>28</v>
      </c>
      <c r="C48" s="1306">
        <v>61</v>
      </c>
      <c r="D48" s="1306">
        <v>9518490.2711140607</v>
      </c>
      <c r="E48" s="1306">
        <v>1</v>
      </c>
      <c r="F48" s="1306">
        <v>37358</v>
      </c>
    </row>
    <row r="49" spans="1:6">
      <c r="A49" s="1305" t="s">
        <v>31</v>
      </c>
      <c r="B49" s="1305" t="s">
        <v>39</v>
      </c>
      <c r="C49" s="1306">
        <v>0</v>
      </c>
      <c r="D49" s="1306">
        <v>0</v>
      </c>
      <c r="E49" s="1306">
        <v>7</v>
      </c>
      <c r="F49" s="1306">
        <v>185127</v>
      </c>
    </row>
    <row r="50" spans="1:6">
      <c r="A50" s="1305" t="s">
        <v>31</v>
      </c>
      <c r="B50" s="1305" t="s">
        <v>40</v>
      </c>
      <c r="C50" s="1306">
        <v>14</v>
      </c>
      <c r="D50" s="1306">
        <v>5754495.1330546401</v>
      </c>
      <c r="E50" s="1306">
        <v>18</v>
      </c>
      <c r="F50" s="1306">
        <v>3251593</v>
      </c>
    </row>
    <row r="51" spans="1:6">
      <c r="A51" s="1305" t="s">
        <v>41</v>
      </c>
      <c r="B51" s="1305" t="s">
        <v>42</v>
      </c>
      <c r="C51" s="1306">
        <v>0</v>
      </c>
      <c r="D51" s="1306">
        <v>0</v>
      </c>
      <c r="E51" s="1306">
        <v>62</v>
      </c>
      <c r="F51" s="1306">
        <v>1380886</v>
      </c>
    </row>
    <row r="52" spans="1:6">
      <c r="A52" s="1305" t="s">
        <v>41</v>
      </c>
      <c r="B52" s="1305" t="s">
        <v>28</v>
      </c>
      <c r="C52" s="1306">
        <v>8</v>
      </c>
      <c r="D52" s="1306">
        <v>31856696.471126098</v>
      </c>
      <c r="E52" s="1306">
        <v>0</v>
      </c>
      <c r="F52" s="1306">
        <v>0</v>
      </c>
    </row>
    <row r="53" spans="1:6">
      <c r="A53" s="1305" t="s">
        <v>43</v>
      </c>
      <c r="B53" s="1305" t="s">
        <v>44</v>
      </c>
      <c r="C53" s="1306">
        <v>169</v>
      </c>
      <c r="D53" s="1306">
        <v>5759866.3635064298</v>
      </c>
      <c r="E53" s="1306">
        <v>0</v>
      </c>
      <c r="F53" s="1306">
        <v>0</v>
      </c>
    </row>
    <row r="54" spans="1:6">
      <c r="A54" s="1305" t="s">
        <v>45</v>
      </c>
      <c r="B54" s="1305" t="s">
        <v>46</v>
      </c>
      <c r="C54" s="1306">
        <v>0</v>
      </c>
      <c r="D54" s="1306">
        <v>0</v>
      </c>
      <c r="E54" s="1306">
        <v>5</v>
      </c>
      <c r="F54" s="1306">
        <v>2010130</v>
      </c>
    </row>
    <row r="55" spans="1:6">
      <c r="A55" s="1305" t="s">
        <v>45</v>
      </c>
      <c r="B55" s="1305" t="s">
        <v>28</v>
      </c>
      <c r="C55" s="1306">
        <v>0</v>
      </c>
      <c r="D55" s="1306">
        <v>0</v>
      </c>
      <c r="E55" s="1306">
        <v>0</v>
      </c>
      <c r="F55" s="1306">
        <v>0</v>
      </c>
    </row>
    <row r="56" spans="1:6">
      <c r="A56" s="1305" t="s">
        <v>47</v>
      </c>
      <c r="B56" s="1305" t="s">
        <v>28</v>
      </c>
      <c r="C56" s="1306">
        <v>0</v>
      </c>
      <c r="D56" s="1306">
        <v>0</v>
      </c>
      <c r="E56" s="1306">
        <v>295</v>
      </c>
      <c r="F56" s="1306">
        <v>1579749</v>
      </c>
    </row>
    <row r="57" spans="1:6">
      <c r="A57" s="1305" t="s">
        <v>48</v>
      </c>
      <c r="B57" s="1305" t="s">
        <v>49</v>
      </c>
      <c r="C57" s="1306">
        <v>50</v>
      </c>
      <c r="D57" s="1306">
        <v>2025618.4870424401</v>
      </c>
      <c r="E57" s="1306">
        <v>136</v>
      </c>
      <c r="F57" s="1306">
        <v>3072580</v>
      </c>
    </row>
    <row r="58" spans="1:6">
      <c r="A58" s="1305" t="s">
        <v>48</v>
      </c>
      <c r="B58" s="1305" t="s">
        <v>50</v>
      </c>
      <c r="C58" s="1306">
        <v>52</v>
      </c>
      <c r="D58" s="1306">
        <v>6801772.0529030301</v>
      </c>
      <c r="E58" s="1306">
        <v>90</v>
      </c>
      <c r="F58" s="1306">
        <v>4461213</v>
      </c>
    </row>
    <row r="59" spans="1:6">
      <c r="A59" s="1305" t="s">
        <v>48</v>
      </c>
      <c r="B59" s="1305" t="s">
        <v>51</v>
      </c>
      <c r="C59" s="1306">
        <v>142</v>
      </c>
      <c r="D59" s="1306">
        <v>6008429.4381617699</v>
      </c>
      <c r="E59" s="1306">
        <v>406</v>
      </c>
      <c r="F59" s="1306">
        <v>25156755</v>
      </c>
    </row>
    <row r="60" spans="1:6">
      <c r="A60" s="1305" t="s">
        <v>48</v>
      </c>
      <c r="B60" s="1305" t="s">
        <v>52</v>
      </c>
      <c r="C60" s="1306">
        <v>86</v>
      </c>
      <c r="D60" s="1306">
        <v>3593764.3376803002</v>
      </c>
      <c r="E60" s="1306">
        <v>118</v>
      </c>
      <c r="F60" s="1306">
        <v>3143445</v>
      </c>
    </row>
    <row r="61" spans="1:6">
      <c r="A61" s="1305" t="s">
        <v>48</v>
      </c>
      <c r="B61" s="1305" t="s">
        <v>53</v>
      </c>
      <c r="C61" s="1306">
        <v>210</v>
      </c>
      <c r="D61" s="1306">
        <v>9579446.9685650505</v>
      </c>
      <c r="E61" s="1306">
        <v>590</v>
      </c>
      <c r="F61" s="1306">
        <v>6847894</v>
      </c>
    </row>
    <row r="62" spans="1:6">
      <c r="A62" s="1305" t="s">
        <v>48</v>
      </c>
      <c r="B62" s="1305" t="s">
        <v>54</v>
      </c>
      <c r="C62" s="1306">
        <v>14</v>
      </c>
      <c r="D62" s="1306">
        <v>1496376.75539296</v>
      </c>
      <c r="E62" s="1306">
        <v>25</v>
      </c>
      <c r="F62" s="1306">
        <v>1492859</v>
      </c>
    </row>
    <row r="63" spans="1:6">
      <c r="A63" s="1305" t="s">
        <v>48</v>
      </c>
      <c r="B63" s="1305" t="s">
        <v>28</v>
      </c>
      <c r="C63" s="1306">
        <v>172</v>
      </c>
      <c r="D63" s="1306">
        <v>17326066.150388099</v>
      </c>
      <c r="E63" s="1306">
        <v>1</v>
      </c>
      <c r="F63" s="1306">
        <v>15909</v>
      </c>
    </row>
    <row r="64" spans="1:6">
      <c r="A64" s="1305" t="s">
        <v>55</v>
      </c>
      <c r="B64" s="1305" t="s">
        <v>56</v>
      </c>
      <c r="C64" s="1306">
        <v>0</v>
      </c>
      <c r="D64" s="1306">
        <v>0</v>
      </c>
      <c r="E64" s="1306">
        <v>0</v>
      </c>
      <c r="F64" s="1306">
        <v>0</v>
      </c>
    </row>
    <row r="65" spans="1:6">
      <c r="A65" s="1305" t="s">
        <v>55</v>
      </c>
      <c r="B65" s="1305" t="s">
        <v>28</v>
      </c>
      <c r="C65" s="1306">
        <v>5</v>
      </c>
      <c r="D65" s="1306">
        <v>72355.169801352895</v>
      </c>
      <c r="E65" s="1306">
        <v>1</v>
      </c>
      <c r="F65" s="1306">
        <v>9041</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3</v>
      </c>
      <c r="D68" s="1309">
        <v>101570.335962321</v>
      </c>
      <c r="E68" s="1309">
        <v>12</v>
      </c>
      <c r="F68" s="1309">
        <v>151822</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112210794</v>
      </c>
      <c r="E73" s="450"/>
      <c r="F73" s="330"/>
    </row>
    <row r="74" spans="1:6">
      <c r="A74" s="1305" t="s">
        <v>63</v>
      </c>
      <c r="B74" s="1305" t="s">
        <v>710</v>
      </c>
      <c r="C74" s="1319" t="s">
        <v>712</v>
      </c>
      <c r="D74" s="1320">
        <v>7726534.4038142562</v>
      </c>
      <c r="E74" s="450"/>
      <c r="F74" s="330"/>
    </row>
    <row r="75" spans="1:6">
      <c r="A75" s="1305" t="s">
        <v>64</v>
      </c>
      <c r="B75" s="1305" t="s">
        <v>709</v>
      </c>
      <c r="C75" s="1319" t="s">
        <v>713</v>
      </c>
      <c r="D75" s="1320">
        <v>17853870</v>
      </c>
      <c r="E75" s="450"/>
      <c r="F75" s="330"/>
    </row>
    <row r="76" spans="1:6">
      <c r="A76" s="1305" t="s">
        <v>64</v>
      </c>
      <c r="B76" s="1305" t="s">
        <v>710</v>
      </c>
      <c r="C76" s="1319" t="s">
        <v>714</v>
      </c>
      <c r="D76" s="1320">
        <v>490841.40381425613</v>
      </c>
      <c r="E76" s="450"/>
      <c r="F76" s="330"/>
    </row>
    <row r="77" spans="1:6">
      <c r="A77" s="1305" t="s">
        <v>65</v>
      </c>
      <c r="B77" s="1305" t="s">
        <v>709</v>
      </c>
      <c r="C77" s="1319" t="s">
        <v>715</v>
      </c>
      <c r="D77" s="1320">
        <v>37973143</v>
      </c>
      <c r="E77" s="450"/>
      <c r="F77" s="330"/>
    </row>
    <row r="78" spans="1:6">
      <c r="A78" s="1300" t="s">
        <v>65</v>
      </c>
      <c r="B78" s="1300" t="s">
        <v>710</v>
      </c>
      <c r="C78" s="1300" t="s">
        <v>716</v>
      </c>
      <c r="D78" s="1321">
        <v>4592753</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847443.19237148773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16117.853777307973</v>
      </c>
      <c r="C90" s="330"/>
      <c r="D90" s="330"/>
      <c r="E90" s="330"/>
      <c r="F90" s="330"/>
    </row>
    <row r="91" spans="1:6">
      <c r="A91" s="1305" t="s">
        <v>67</v>
      </c>
      <c r="B91" s="1306">
        <v>4593.5670726211683</v>
      </c>
      <c r="C91" s="330"/>
      <c r="D91" s="330"/>
      <c r="E91" s="330"/>
      <c r="F91" s="330"/>
    </row>
    <row r="92" spans="1:6">
      <c r="A92" s="1300" t="s">
        <v>68</v>
      </c>
      <c r="B92" s="1301">
        <v>8405.9237394588436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2946</v>
      </c>
      <c r="C97" s="330"/>
      <c r="D97" s="330"/>
      <c r="E97" s="330"/>
      <c r="F97" s="330"/>
    </row>
    <row r="98" spans="1:6">
      <c r="A98" s="1305" t="s">
        <v>71</v>
      </c>
      <c r="B98" s="1306">
        <v>3</v>
      </c>
      <c r="C98" s="330"/>
      <c r="D98" s="330"/>
      <c r="E98" s="330"/>
      <c r="F98" s="330"/>
    </row>
    <row r="99" spans="1:6">
      <c r="A99" s="1305" t="s">
        <v>72</v>
      </c>
      <c r="B99" s="1306">
        <v>85</v>
      </c>
      <c r="C99" s="330"/>
      <c r="D99" s="330"/>
      <c r="E99" s="330"/>
      <c r="F99" s="330"/>
    </row>
    <row r="100" spans="1:6">
      <c r="A100" s="1305" t="s">
        <v>73</v>
      </c>
      <c r="B100" s="1306">
        <v>484</v>
      </c>
      <c r="C100" s="330"/>
      <c r="D100" s="330"/>
      <c r="E100" s="330"/>
      <c r="F100" s="330"/>
    </row>
    <row r="101" spans="1:6">
      <c r="A101" s="1305" t="s">
        <v>74</v>
      </c>
      <c r="B101" s="1306">
        <v>52</v>
      </c>
      <c r="C101" s="330"/>
      <c r="D101" s="330"/>
      <c r="E101" s="330"/>
      <c r="F101" s="330"/>
    </row>
    <row r="102" spans="1:6">
      <c r="A102" s="1305" t="s">
        <v>75</v>
      </c>
      <c r="B102" s="1306">
        <v>111</v>
      </c>
      <c r="C102" s="330"/>
      <c r="D102" s="330"/>
      <c r="E102" s="330"/>
      <c r="F102" s="330"/>
    </row>
    <row r="103" spans="1:6">
      <c r="A103" s="1305" t="s">
        <v>76</v>
      </c>
      <c r="B103" s="1306">
        <v>132</v>
      </c>
      <c r="C103" s="330"/>
      <c r="D103" s="330"/>
      <c r="E103" s="330"/>
      <c r="F103" s="330"/>
    </row>
    <row r="104" spans="1:6">
      <c r="A104" s="1305" t="s">
        <v>77</v>
      </c>
      <c r="B104" s="1306">
        <v>4977</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14</v>
      </c>
      <c r="C123" s="1306">
        <v>13</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162</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24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115932.30762336546</v>
      </c>
      <c r="C3" s="43" t="s">
        <v>169</v>
      </c>
      <c r="D3" s="43"/>
      <c r="E3" s="154"/>
      <c r="F3" s="43"/>
      <c r="G3" s="43"/>
      <c r="H3" s="43"/>
      <c r="I3" s="43"/>
      <c r="J3" s="43"/>
      <c r="K3" s="96"/>
    </row>
    <row r="4" spans="1:11">
      <c r="A4" s="359" t="s">
        <v>170</v>
      </c>
      <c r="B4" s="49">
        <f>IF(ISERROR('SEAP template'!B78+'SEAP template'!C78),0,'SEAP template'!B78+'SEAP template'!C78)</f>
        <v>43317.094589387983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3374.5288235294115</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0.16753303114725501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4820.7554621848731</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20285.357142857141</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0.23764705882352938</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2010.13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2010.13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0.16753303114725501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336.76317190003175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35395.408000000003</v>
      </c>
      <c r="C5" s="17">
        <f>IF(ISERROR('Eigen informatie GS &amp; warmtenet'!B57),0,'Eigen informatie GS &amp; warmtenet'!B57)</f>
        <v>0</v>
      </c>
      <c r="D5" s="30">
        <f>(SUM(HH_hh_gas_kWh,HH_rest_gas_kWh)/1000)*0.902</f>
        <v>63424.758860119618</v>
      </c>
      <c r="E5" s="17">
        <f>B46*B57</f>
        <v>18965.050723153785</v>
      </c>
      <c r="F5" s="17">
        <f>B51*B62</f>
        <v>66229.784787012875</v>
      </c>
      <c r="G5" s="18"/>
      <c r="H5" s="17"/>
      <c r="I5" s="17"/>
      <c r="J5" s="17">
        <f>B50*B61+C50*C61</f>
        <v>0</v>
      </c>
      <c r="K5" s="17"/>
      <c r="L5" s="17"/>
      <c r="M5" s="17"/>
      <c r="N5" s="17">
        <f>B48*B59+C48*C59</f>
        <v>8366.5785425313443</v>
      </c>
      <c r="O5" s="17">
        <f>B69*B70*B71</f>
        <v>273.58333333333331</v>
      </c>
      <c r="P5" s="17">
        <f>B77*B78*B79/1000-B77*B78*B79/1000/B80</f>
        <v>743.6</v>
      </c>
    </row>
    <row r="6" spans="1:16">
      <c r="A6" s="16" t="s">
        <v>630</v>
      </c>
      <c r="B6" s="763">
        <f>kWh_PV_kleiner_dan_10kW</f>
        <v>4593.5670726211683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39988.975072621171</v>
      </c>
      <c r="C8" s="21">
        <f>C5</f>
        <v>0</v>
      </c>
      <c r="D8" s="21">
        <f>D5</f>
        <v>63424.758860119618</v>
      </c>
      <c r="E8" s="21">
        <f>E5</f>
        <v>18965.050723153785</v>
      </c>
      <c r="F8" s="21">
        <f>F5</f>
        <v>66229.784787012875</v>
      </c>
      <c r="G8" s="21"/>
      <c r="H8" s="21"/>
      <c r="I8" s="21"/>
      <c r="J8" s="21">
        <f>J5</f>
        <v>0</v>
      </c>
      <c r="K8" s="21"/>
      <c r="L8" s="21">
        <f>L5</f>
        <v>0</v>
      </c>
      <c r="M8" s="21">
        <f>M5</f>
        <v>0</v>
      </c>
      <c r="N8" s="21">
        <f>N5</f>
        <v>8366.5785425313443</v>
      </c>
      <c r="O8" s="21">
        <f>O5</f>
        <v>273.58333333333331</v>
      </c>
      <c r="P8" s="21">
        <f>P5</f>
        <v>743.6</v>
      </c>
    </row>
    <row r="9" spans="1:16">
      <c r="B9" s="19"/>
      <c r="C9" s="19"/>
      <c r="D9" s="258"/>
      <c r="E9" s="19"/>
      <c r="F9" s="19"/>
      <c r="G9" s="19"/>
      <c r="H9" s="19"/>
      <c r="I9" s="19"/>
      <c r="J9" s="19"/>
      <c r="K9" s="19"/>
      <c r="L9" s="19"/>
      <c r="M9" s="19"/>
      <c r="N9" s="19"/>
      <c r="O9" s="19"/>
      <c r="P9" s="19"/>
    </row>
    <row r="10" spans="1:16">
      <c r="A10" s="24" t="s">
        <v>213</v>
      </c>
      <c r="B10" s="25">
        <f ca="1">'EF ele_warmte'!B12</f>
        <v>0.16753303114725501</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6699.4742063882468</v>
      </c>
      <c r="C12" s="23">
        <f ca="1">C10*C8</f>
        <v>0</v>
      </c>
      <c r="D12" s="23">
        <f>D8*D10</f>
        <v>12811.801289744164</v>
      </c>
      <c r="E12" s="23">
        <f>E10*E8</f>
        <v>4305.0665141559093</v>
      </c>
      <c r="F12" s="23">
        <f>F10*F8</f>
        <v>17683.35253813244</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2946</v>
      </c>
      <c r="C18" s="166" t="s">
        <v>110</v>
      </c>
      <c r="D18" s="228"/>
      <c r="E18" s="15"/>
    </row>
    <row r="19" spans="1:7">
      <c r="A19" s="171" t="s">
        <v>71</v>
      </c>
      <c r="B19" s="37">
        <f>aantalw2001_ander</f>
        <v>3</v>
      </c>
      <c r="C19" s="166" t="s">
        <v>110</v>
      </c>
      <c r="D19" s="229"/>
      <c r="E19" s="15"/>
    </row>
    <row r="20" spans="1:7">
      <c r="A20" s="171" t="s">
        <v>72</v>
      </c>
      <c r="B20" s="37">
        <f>aantalw2001_propaan</f>
        <v>85</v>
      </c>
      <c r="C20" s="167">
        <f>IF(ISERROR(B20/SUM($B$20,$B$21,$B$22)*100),0,B20/SUM($B$20,$B$21,$B$22)*100)</f>
        <v>13.687600644122384</v>
      </c>
      <c r="D20" s="229"/>
      <c r="E20" s="15"/>
    </row>
    <row r="21" spans="1:7">
      <c r="A21" s="171" t="s">
        <v>73</v>
      </c>
      <c r="B21" s="37">
        <f>aantalw2001_elektriciteit</f>
        <v>484</v>
      </c>
      <c r="C21" s="167">
        <f>IF(ISERROR(B21/SUM($B$20,$B$21,$B$22)*100),0,B21/SUM($B$20,$B$21,$B$22)*100)</f>
        <v>77.938808373590987</v>
      </c>
      <c r="D21" s="229"/>
      <c r="E21" s="15"/>
    </row>
    <row r="22" spans="1:7">
      <c r="A22" s="171" t="s">
        <v>74</v>
      </c>
      <c r="B22" s="37">
        <f>aantalw2001_hout</f>
        <v>52</v>
      </c>
      <c r="C22" s="167">
        <f>IF(ISERROR(B22/SUM($B$20,$B$21,$B$22)*100),0,B22/SUM($B$20,$B$21,$B$22)*100)</f>
        <v>8.3735909822866343</v>
      </c>
      <c r="D22" s="229"/>
      <c r="E22" s="15"/>
    </row>
    <row r="23" spans="1:7">
      <c r="A23" s="171" t="s">
        <v>75</v>
      </c>
      <c r="B23" s="37">
        <f>aantalw2001_niet_gespec</f>
        <v>111</v>
      </c>
      <c r="C23" s="166" t="s">
        <v>110</v>
      </c>
      <c r="D23" s="228"/>
      <c r="E23" s="15"/>
    </row>
    <row r="24" spans="1:7">
      <c r="A24" s="171" t="s">
        <v>76</v>
      </c>
      <c r="B24" s="37">
        <f>aantalw2001_steenkool</f>
        <v>132</v>
      </c>
      <c r="C24" s="166" t="s">
        <v>110</v>
      </c>
      <c r="D24" s="229"/>
      <c r="E24" s="15"/>
    </row>
    <row r="25" spans="1:7">
      <c r="A25" s="171" t="s">
        <v>77</v>
      </c>
      <c r="B25" s="37">
        <f>aantalw2001_stookolie</f>
        <v>4977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9922</v>
      </c>
      <c r="C28" s="36"/>
      <c r="D28" s="228"/>
    </row>
    <row r="29" spans="1:7" s="15" customFormat="1">
      <c r="A29" s="230" t="s">
        <v>737</v>
      </c>
      <c r="B29" s="37">
        <f>SUM(HH_hh_gas_aantal,HH_rest_gas_aantal)</f>
        <v>5189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5189</v>
      </c>
      <c r="C32" s="167">
        <f>IF(ISERROR(B32/SUM($B$32,$B$34,$B$35,$B$36,$B$38,$B$39)*100),0,B32/SUM($B$32,$B$34,$B$35,$B$36,$B$38,$B$39)*100)</f>
        <v>52.504300313669937</v>
      </c>
      <c r="D32" s="233"/>
      <c r="G32" s="15"/>
    </row>
    <row r="33" spans="1:7">
      <c r="A33" s="171" t="s">
        <v>71</v>
      </c>
      <c r="B33" s="34" t="s">
        <v>110</v>
      </c>
      <c r="C33" s="167"/>
      <c r="D33" s="233"/>
      <c r="G33" s="15"/>
    </row>
    <row r="34" spans="1:7">
      <c r="A34" s="171" t="s">
        <v>72</v>
      </c>
      <c r="B34" s="33">
        <f>IF((($B$28-$B$32-$B$39-$B$77-$B$38)*C20/100)&lt;0,0,($B$28-$B$32-$B$39-$B$77-$B$38)*C20/100)</f>
        <v>237.57568438003219</v>
      </c>
      <c r="C34" s="167">
        <f>IF(ISERROR(B34/SUM($B$32,$B$34,$B$35,$B$36,$B$38,$B$39)*100),0,B34/SUM($B$32,$B$34,$B$35,$B$36,$B$38,$B$39)*100)</f>
        <v>2.4038822663162218</v>
      </c>
      <c r="D34" s="233"/>
      <c r="G34" s="15"/>
    </row>
    <row r="35" spans="1:7">
      <c r="A35" s="171" t="s">
        <v>73</v>
      </c>
      <c r="B35" s="33">
        <f>IF((($B$28-$B$32-$B$39-$B$77-$B$38)*C21/100)&lt;0,0,($B$28-$B$32-$B$39-$B$77-$B$38)*C21/100)</f>
        <v>1352.7838969404186</v>
      </c>
      <c r="C35" s="167">
        <f>IF(ISERROR(B35/SUM($B$32,$B$34,$B$35,$B$36,$B$38,$B$39)*100),0,B35/SUM($B$32,$B$34,$B$35,$B$36,$B$38,$B$39)*100)</f>
        <v>13.687988434082957</v>
      </c>
      <c r="D35" s="233"/>
      <c r="G35" s="15"/>
    </row>
    <row r="36" spans="1:7">
      <c r="A36" s="171" t="s">
        <v>74</v>
      </c>
      <c r="B36" s="33">
        <f>IF((($B$28-$B$32-$B$39-$B$77-$B$38)*C22/100)&lt;0,0,($B$28-$B$32-$B$39-$B$77-$B$38)*C22/100)</f>
        <v>145.34041867954909</v>
      </c>
      <c r="C36" s="167">
        <f>IF(ISERROR(B36/SUM($B$32,$B$34,$B$35,$B$36,$B$38,$B$39)*100),0,B36/SUM($B$32,$B$34,$B$35,$B$36,$B$38,$B$39)*100)</f>
        <v>1.4706103276287472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2958.3</v>
      </c>
      <c r="C39" s="167">
        <f>IF(ISERROR(B39/SUM($B$32,$B$34,$B$35,$B$36,$B$38,$B$39)*100),0,B39/SUM($B$32,$B$34,$B$35,$B$36,$B$38,$B$39)*100)</f>
        <v>29.933218658302135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5189</v>
      </c>
      <c r="C44" s="34" t="s">
        <v>110</v>
      </c>
      <c r="D44" s="174"/>
    </row>
    <row r="45" spans="1:7">
      <c r="A45" s="171" t="s">
        <v>71</v>
      </c>
      <c r="B45" s="33" t="str">
        <f t="shared" si="0"/>
        <v>-</v>
      </c>
      <c r="C45" s="34" t="s">
        <v>110</v>
      </c>
      <c r="D45" s="174"/>
    </row>
    <row r="46" spans="1:7">
      <c r="A46" s="171" t="s">
        <v>72</v>
      </c>
      <c r="B46" s="33">
        <f t="shared" si="0"/>
        <v>237.57568438003219</v>
      </c>
      <c r="C46" s="34" t="s">
        <v>110</v>
      </c>
      <c r="D46" s="174"/>
    </row>
    <row r="47" spans="1:7">
      <c r="A47" s="171" t="s">
        <v>73</v>
      </c>
      <c r="B47" s="33">
        <f t="shared" si="0"/>
        <v>1352.7838969404186</v>
      </c>
      <c r="C47" s="34" t="s">
        <v>110</v>
      </c>
      <c r="D47" s="174"/>
    </row>
    <row r="48" spans="1:7">
      <c r="A48" s="171" t="s">
        <v>74</v>
      </c>
      <c r="B48" s="33">
        <f t="shared" si="0"/>
        <v>145.34041867954909</v>
      </c>
      <c r="C48" s="33">
        <f>B48*10</f>
        <v>1453.4041867954909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2958.3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44190.654999999999</v>
      </c>
      <c r="C5" s="17">
        <f>IF(ISERROR('Eigen informatie GS &amp; warmtenet'!B58),0,'Eigen informatie GS &amp; warmtenet'!B58)</f>
        <v>0</v>
      </c>
      <c r="D5" s="30">
        <f>SUM(D6:D12)</f>
        <v>42241.989719500554</v>
      </c>
      <c r="E5" s="17">
        <f>SUM(E6:E12)</f>
        <v>437.25398848196909</v>
      </c>
      <c r="F5" s="17">
        <f>SUM(F6:F12)</f>
        <v>6328.9606893872151</v>
      </c>
      <c r="G5" s="18"/>
      <c r="H5" s="17"/>
      <c r="I5" s="17"/>
      <c r="J5" s="17">
        <f>SUM(J6:J12)</f>
        <v>0</v>
      </c>
      <c r="K5" s="17"/>
      <c r="L5" s="17"/>
      <c r="M5" s="17"/>
      <c r="N5" s="17">
        <f>SUM(N6:N12)</f>
        <v>2476.6468543949932</v>
      </c>
      <c r="O5" s="17">
        <f>B38*B39*B40</f>
        <v>3.1266666666666669</v>
      </c>
      <c r="P5" s="17">
        <f>B46*B47*B48/1000-B46*B47*B48/1000/B49</f>
        <v>0</v>
      </c>
      <c r="R5" s="32"/>
    </row>
    <row r="6" spans="1:18">
      <c r="A6" s="32" t="s">
        <v>53</v>
      </c>
      <c r="B6" s="37">
        <f>B26</f>
        <v>6847.8940000000002</v>
      </c>
      <c r="C6" s="33"/>
      <c r="D6" s="37">
        <f>IF(ISERROR(TER_kantoor_gas_kWh/1000),0,TER_kantoor_gas_kWh/1000)*0.902</f>
        <v>8640.6611656456771</v>
      </c>
      <c r="E6" s="33">
        <f>$C$26*'E Balans VL '!I12/100/3.6*1000000</f>
        <v>19.839353646512865</v>
      </c>
      <c r="F6" s="33">
        <f>$C$26*('E Balans VL '!L12+'E Balans VL '!N12)/100/3.6*1000000</f>
        <v>775.03072999781295</v>
      </c>
      <c r="G6" s="34"/>
      <c r="H6" s="33"/>
      <c r="I6" s="33"/>
      <c r="J6" s="33">
        <f>$C$26*('E Balans VL '!D12+'E Balans VL '!E12)/100/3.6*1000000</f>
        <v>0</v>
      </c>
      <c r="K6" s="33"/>
      <c r="L6" s="33"/>
      <c r="M6" s="33"/>
      <c r="N6" s="33">
        <f>$C$26*'E Balans VL '!Y12/100/3.6*1000000</f>
        <v>68.54237318641411</v>
      </c>
      <c r="O6" s="33"/>
      <c r="P6" s="33"/>
      <c r="R6" s="32"/>
    </row>
    <row r="7" spans="1:18">
      <c r="A7" s="32" t="s">
        <v>52</v>
      </c>
      <c r="B7" s="37">
        <f t="shared" ref="B7:B12" si="0">B27</f>
        <v>3143.4450000000002</v>
      </c>
      <c r="C7" s="33"/>
      <c r="D7" s="37">
        <f>IF(ISERROR(TER_horeca_gas_kWh/1000),0,TER_horeca_gas_kWh/1000)*0.902</f>
        <v>3241.575432587631</v>
      </c>
      <c r="E7" s="33">
        <f>$C$27*'E Balans VL '!I9/100/3.6*1000000</f>
        <v>131.95303848824807</v>
      </c>
      <c r="F7" s="33">
        <f>$C$27*('E Balans VL '!L9+'E Balans VL '!N9)/100/3.6*1000000</f>
        <v>675.43362066098473</v>
      </c>
      <c r="G7" s="34"/>
      <c r="H7" s="33"/>
      <c r="I7" s="33"/>
      <c r="J7" s="33">
        <f>$C$27*('E Balans VL '!D9+'E Balans VL '!E9)/100/3.6*1000000</f>
        <v>0</v>
      </c>
      <c r="K7" s="33"/>
      <c r="L7" s="33"/>
      <c r="M7" s="33"/>
      <c r="N7" s="33">
        <f>$C$27*'E Balans VL '!Y9/100/3.6*1000000</f>
        <v>0.81003828607619632</v>
      </c>
      <c r="O7" s="33"/>
      <c r="P7" s="33"/>
      <c r="R7" s="32"/>
    </row>
    <row r="8" spans="1:18">
      <c r="A8" s="6" t="s">
        <v>51</v>
      </c>
      <c r="B8" s="37">
        <f t="shared" si="0"/>
        <v>25156.755000000001</v>
      </c>
      <c r="C8" s="33"/>
      <c r="D8" s="37">
        <f>IF(ISERROR(TER_handel_gas_kWh/1000),0,TER_handel_gas_kWh/1000)*0.902</f>
        <v>5419.6033532219171</v>
      </c>
      <c r="E8" s="33">
        <f>$C$28*'E Balans VL '!I13/100/3.6*1000000</f>
        <v>270.20448607200848</v>
      </c>
      <c r="F8" s="33">
        <f>$C$28*('E Balans VL '!L13+'E Balans VL '!N13)/100/3.6*1000000</f>
        <v>3256.7496749502693</v>
      </c>
      <c r="G8" s="34"/>
      <c r="H8" s="33"/>
      <c r="I8" s="33"/>
      <c r="J8" s="33">
        <f>$C$28*('E Balans VL '!D13+'E Balans VL '!E13)/100/3.6*1000000</f>
        <v>0</v>
      </c>
      <c r="K8" s="33"/>
      <c r="L8" s="33"/>
      <c r="M8" s="33"/>
      <c r="N8" s="33">
        <f>$C$28*'E Balans VL '!Y13/100/3.6*1000000</f>
        <v>204.07297017854734</v>
      </c>
      <c r="O8" s="33"/>
      <c r="P8" s="33"/>
      <c r="R8" s="32"/>
    </row>
    <row r="9" spans="1:18">
      <c r="A9" s="32" t="s">
        <v>50</v>
      </c>
      <c r="B9" s="37">
        <f t="shared" si="0"/>
        <v>4461.2129999999997</v>
      </c>
      <c r="C9" s="33"/>
      <c r="D9" s="37">
        <f>IF(ISERROR(TER_gezond_gas_kWh/1000),0,TER_gezond_gas_kWh/1000)*0.902</f>
        <v>6135.1983917185335</v>
      </c>
      <c r="E9" s="33">
        <f>$C$29*'E Balans VL '!I10/100/3.6*1000000</f>
        <v>3.5514140915265311</v>
      </c>
      <c r="F9" s="33">
        <f>$C$29*('E Balans VL '!L10+'E Balans VL '!N10)/100/3.6*1000000</f>
        <v>542.32491048471911</v>
      </c>
      <c r="G9" s="34"/>
      <c r="H9" s="33"/>
      <c r="I9" s="33"/>
      <c r="J9" s="33">
        <f>$C$29*('E Balans VL '!D10+'E Balans VL '!E10)/100/3.6*1000000</f>
        <v>0</v>
      </c>
      <c r="K9" s="33"/>
      <c r="L9" s="33"/>
      <c r="M9" s="33"/>
      <c r="N9" s="33">
        <f>$C$29*'E Balans VL '!Y10/100/3.6*1000000</f>
        <v>36.03649669327222</v>
      </c>
      <c r="O9" s="33"/>
      <c r="P9" s="33"/>
      <c r="R9" s="32"/>
    </row>
    <row r="10" spans="1:18">
      <c r="A10" s="32" t="s">
        <v>49</v>
      </c>
      <c r="B10" s="37">
        <f t="shared" si="0"/>
        <v>3072.58</v>
      </c>
      <c r="C10" s="33"/>
      <c r="D10" s="37">
        <f>IF(ISERROR(TER_ander_gas_kWh/1000),0,TER_ander_gas_kWh/1000)*0.902</f>
        <v>1827.1078753122811</v>
      </c>
      <c r="E10" s="33">
        <f>$C$30*'E Balans VL '!I14/100/3.6*1000000</f>
        <v>10.529893072662365</v>
      </c>
      <c r="F10" s="33">
        <f>$C$30*('E Balans VL '!L14+'E Balans VL '!N14)/100/3.6*1000000</f>
        <v>686.28951705627571</v>
      </c>
      <c r="G10" s="34"/>
      <c r="H10" s="33"/>
      <c r="I10" s="33"/>
      <c r="J10" s="33">
        <f>$C$30*('E Balans VL '!D14+'E Balans VL '!E14)/100/3.6*1000000</f>
        <v>0</v>
      </c>
      <c r="K10" s="33"/>
      <c r="L10" s="33"/>
      <c r="M10" s="33"/>
      <c r="N10" s="33">
        <f>$C$30*'E Balans VL '!Y14/100/3.6*1000000</f>
        <v>2164.3421371764357</v>
      </c>
      <c r="O10" s="33"/>
      <c r="P10" s="33"/>
      <c r="R10" s="32"/>
    </row>
    <row r="11" spans="1:18">
      <c r="A11" s="32" t="s">
        <v>54</v>
      </c>
      <c r="B11" s="37">
        <f t="shared" si="0"/>
        <v>1492.8589999999999</v>
      </c>
      <c r="C11" s="33"/>
      <c r="D11" s="37">
        <f>IF(ISERROR(TER_onderwijs_gas_kWh/1000),0,TER_onderwijs_gas_kWh/1000)*0.902</f>
        <v>1349.73183336445</v>
      </c>
      <c r="E11" s="33">
        <f>$C$31*'E Balans VL '!I11/100/3.6*1000000</f>
        <v>1.0319674502612028</v>
      </c>
      <c r="F11" s="33">
        <f>$C$31*('E Balans VL '!L11+'E Balans VL '!N11)/100/3.6*1000000</f>
        <v>390.78712158840955</v>
      </c>
      <c r="G11" s="34"/>
      <c r="H11" s="33"/>
      <c r="I11" s="33"/>
      <c r="J11" s="33">
        <f>$C$31*('E Balans VL '!D11+'E Balans VL '!E11)/100/3.6*1000000</f>
        <v>0</v>
      </c>
      <c r="K11" s="33"/>
      <c r="L11" s="33"/>
      <c r="M11" s="33"/>
      <c r="N11" s="33">
        <f>$C$31*'E Balans VL '!Y11/100/3.6*1000000</f>
        <v>1.4860139826892718</v>
      </c>
      <c r="O11" s="33"/>
      <c r="P11" s="33"/>
      <c r="R11" s="32"/>
    </row>
    <row r="12" spans="1:18">
      <c r="A12" s="32" t="s">
        <v>259</v>
      </c>
      <c r="B12" s="37">
        <f t="shared" si="0"/>
        <v>15.909000000000001</v>
      </c>
      <c r="C12" s="33"/>
      <c r="D12" s="37">
        <f>IF(ISERROR(TER_rest_gas_kWh/1000),0,TER_rest_gas_kWh/1000)*0.902</f>
        <v>15628.111667650066</v>
      </c>
      <c r="E12" s="33">
        <f>$C$32*'E Balans VL '!I8/100/3.6*1000000</f>
        <v>0.14383566074951892</v>
      </c>
      <c r="F12" s="33">
        <f>$C$32*('E Balans VL '!L8+'E Balans VL '!N8)/100/3.6*1000000</f>
        <v>2.3451146487431842</v>
      </c>
      <c r="G12" s="34"/>
      <c r="H12" s="33"/>
      <c r="I12" s="33"/>
      <c r="J12" s="33">
        <f>$C$32*('E Balans VL '!D8+'E Balans VL '!E8)/100/3.6*1000000</f>
        <v>0</v>
      </c>
      <c r="K12" s="33"/>
      <c r="L12" s="33"/>
      <c r="M12" s="33"/>
      <c r="N12" s="33">
        <f>$C$32*'E Balans VL '!Y8/100/3.6*1000000</f>
        <v>1.3568248915586629</v>
      </c>
      <c r="O12" s="33"/>
      <c r="P12" s="33"/>
      <c r="R12" s="32"/>
    </row>
    <row r="13" spans="1:18">
      <c r="A13" s="16" t="s">
        <v>493</v>
      </c>
      <c r="B13" s="247">
        <f ca="1">'lokale energieproductie'!N39+'lokale energieproductie'!N32</f>
        <v>24.75</v>
      </c>
      <c r="C13" s="247">
        <f ca="1">'lokale energieproductie'!O39+'lokale energieproductie'!O32</f>
        <v>35.357142857142861</v>
      </c>
      <c r="D13" s="308">
        <f ca="1">('lokale energieproductie'!P32+'lokale energieproductie'!P39)*(-1)</f>
        <v>-70.714285714285722</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44215.404999999999</v>
      </c>
      <c r="C16" s="21">
        <f t="shared" ca="1" si="1"/>
        <v>35.357142857142861</v>
      </c>
      <c r="D16" s="21">
        <f t="shared" ca="1" si="1"/>
        <v>42171.275433786272</v>
      </c>
      <c r="E16" s="21">
        <f t="shared" si="1"/>
        <v>437.25398848196909</v>
      </c>
      <c r="F16" s="21">
        <f t="shared" ca="1" si="1"/>
        <v>6328.9606893872151</v>
      </c>
      <c r="G16" s="21">
        <f t="shared" si="1"/>
        <v>0</v>
      </c>
      <c r="H16" s="21">
        <f t="shared" si="1"/>
        <v>0</v>
      </c>
      <c r="I16" s="21">
        <f t="shared" si="1"/>
        <v>0</v>
      </c>
      <c r="J16" s="21">
        <f t="shared" si="1"/>
        <v>0</v>
      </c>
      <c r="K16" s="21">
        <f t="shared" si="1"/>
        <v>0</v>
      </c>
      <c r="L16" s="21">
        <f t="shared" ca="1" si="1"/>
        <v>0</v>
      </c>
      <c r="M16" s="21">
        <f t="shared" si="1"/>
        <v>0</v>
      </c>
      <c r="N16" s="21">
        <f t="shared" ca="1" si="1"/>
        <v>2476.6468543949932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0.16753303114725501</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7407.5408230534949</v>
      </c>
      <c r="C20" s="23">
        <f t="shared" ref="C20:P20" ca="1" si="2">C16*C18</f>
        <v>8.4025210084033617</v>
      </c>
      <c r="D20" s="23">
        <f t="shared" ca="1" si="2"/>
        <v>8518.5976376248273</v>
      </c>
      <c r="E20" s="23">
        <f t="shared" si="2"/>
        <v>99.256655385406987</v>
      </c>
      <c r="F20" s="23">
        <f t="shared" ca="1" si="2"/>
        <v>1689.8325040663865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6847.8940000000002</v>
      </c>
      <c r="C26" s="39">
        <f>IF(ISERROR(B26*3.6/1000000/'E Balans VL '!Z12*100),0,B26*3.6/1000000/'E Balans VL '!Z12*100)</f>
        <v>0.15042190866824637</v>
      </c>
      <c r="D26" s="237" t="s">
        <v>691</v>
      </c>
      <c r="F26" s="6"/>
    </row>
    <row r="27" spans="1:18">
      <c r="A27" s="231" t="s">
        <v>52</v>
      </c>
      <c r="B27" s="33">
        <f>IF(ISERROR(TER_horeca_ele_kWh/1000),0,TER_horeca_ele_kWh/1000)</f>
        <v>3143.4450000000002</v>
      </c>
      <c r="C27" s="39">
        <f>IF(ISERROR(B27*3.6/1000000/'E Balans VL '!Z9*100),0,B27*3.6/1000000/'E Balans VL '!Z9*100)</f>
        <v>0.25260713997985107</v>
      </c>
      <c r="D27" s="237" t="s">
        <v>691</v>
      </c>
      <c r="F27" s="6"/>
    </row>
    <row r="28" spans="1:18">
      <c r="A28" s="171" t="s">
        <v>51</v>
      </c>
      <c r="B28" s="33">
        <f>IF(ISERROR(TER_handel_ele_kWh/1000),0,TER_handel_ele_kWh/1000)</f>
        <v>25156.755000000001</v>
      </c>
      <c r="C28" s="39">
        <f>IF(ISERROR(B28*3.6/1000000/'E Balans VL '!Z13*100),0,B28*3.6/1000000/'E Balans VL '!Z13*100)</f>
        <v>0.74386767047194491</v>
      </c>
      <c r="D28" s="237" t="s">
        <v>691</v>
      </c>
      <c r="F28" s="6"/>
    </row>
    <row r="29" spans="1:18">
      <c r="A29" s="231" t="s">
        <v>50</v>
      </c>
      <c r="B29" s="33">
        <f>IF(ISERROR(TER_gezond_ele_kWh/1000),0,TER_gezond_ele_kWh/1000)</f>
        <v>4461.2129999999997</v>
      </c>
      <c r="C29" s="39">
        <f>IF(ISERROR(B29*3.6/1000000/'E Balans VL '!Z10*100),0,B29*3.6/1000000/'E Balans VL '!Z10*100)</f>
        <v>0.50266352673333869</v>
      </c>
      <c r="D29" s="237" t="s">
        <v>691</v>
      </c>
      <c r="F29" s="6"/>
    </row>
    <row r="30" spans="1:18">
      <c r="A30" s="231" t="s">
        <v>49</v>
      </c>
      <c r="B30" s="33">
        <f>IF(ISERROR(TER_ander_ele_kWh/1000),0,TER_ander_ele_kWh/1000)</f>
        <v>3072.58</v>
      </c>
      <c r="C30" s="39">
        <f>IF(ISERROR(B30*3.6/1000000/'E Balans VL '!Z14*100),0,B30*3.6/1000000/'E Balans VL '!Z14*100)</f>
        <v>0.23237397306173849</v>
      </c>
      <c r="D30" s="237" t="s">
        <v>691</v>
      </c>
      <c r="F30" s="6"/>
    </row>
    <row r="31" spans="1:18">
      <c r="A31" s="231" t="s">
        <v>54</v>
      </c>
      <c r="B31" s="33">
        <f>IF(ISERROR(TER_onderwijs_ele_kWh/1000),0,TER_onderwijs_ele_kWh/1000)</f>
        <v>1492.8589999999999</v>
      </c>
      <c r="C31" s="39">
        <f>IF(ISERROR(B31*3.6/1000000/'E Balans VL '!Z11*100),0,B31*3.6/1000000/'E Balans VL '!Z11*100)</f>
        <v>0.30988287316607888</v>
      </c>
      <c r="D31" s="237" t="s">
        <v>691</v>
      </c>
    </row>
    <row r="32" spans="1:18">
      <c r="A32" s="231" t="s">
        <v>259</v>
      </c>
      <c r="B32" s="33">
        <f>IF(ISERROR(TER_rest_ele_kWh/1000),0,TER_rest_ele_kWh/1000)</f>
        <v>15.909000000000001</v>
      </c>
      <c r="C32" s="39">
        <f>IF(ISERROR(B32*3.6/1000000/'E Balans VL '!Z8*100),0,B32*3.6/1000000/'E Balans VL '!Z8*100)</f>
        <v>1.3402396605223743E-4</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26738.150442857146</v>
      </c>
      <c r="C5" s="17">
        <f>IF(ISERROR('Eigen informatie GS &amp; warmtenet'!B59),0,'Eigen informatie GS &amp; warmtenet'!B59)</f>
        <v>0</v>
      </c>
      <c r="D5" s="30">
        <f>SUM(D6:D15)</f>
        <v>16714.50270879559</v>
      </c>
      <c r="E5" s="17">
        <f>SUM(E6:E15)</f>
        <v>4742.312209793331</v>
      </c>
      <c r="F5" s="17">
        <f>SUM(F6:F15)</f>
        <v>20777.031224848895</v>
      </c>
      <c r="G5" s="18"/>
      <c r="H5" s="17"/>
      <c r="I5" s="17"/>
      <c r="J5" s="17">
        <f>SUM(J6:J15)</f>
        <v>78.784632002531978</v>
      </c>
      <c r="K5" s="17"/>
      <c r="L5" s="17"/>
      <c r="M5" s="17"/>
      <c r="N5" s="17">
        <f>SUM(N6:N15)</f>
        <v>3280.1921964588532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4521.9524428571422</v>
      </c>
      <c r="C8" s="33"/>
      <c r="D8" s="37">
        <f>IF( ISERROR(IND_metaal_Gas_kWH/1000),0,IND_metaal_Gas_kWH/1000)*0.902</f>
        <v>0</v>
      </c>
      <c r="E8" s="33">
        <f>C30*'E Balans VL '!I18/100/3.6*1000000</f>
        <v>113.1686431502248</v>
      </c>
      <c r="F8" s="33">
        <f>C30*'E Balans VL '!L18/100/3.6*1000000+C30*'E Balans VL '!N18/100/3.6*1000000</f>
        <v>1417.202388939666</v>
      </c>
      <c r="G8" s="34"/>
      <c r="H8" s="33"/>
      <c r="I8" s="33"/>
      <c r="J8" s="40">
        <f>C30*'E Balans VL '!D18/100/3.6*1000000+C30*'E Balans VL '!E18/100/3.6*1000000</f>
        <v>0</v>
      </c>
      <c r="K8" s="33"/>
      <c r="L8" s="33"/>
      <c r="M8" s="33"/>
      <c r="N8" s="33">
        <f>C30*'E Balans VL '!Y18/100/3.6*1000000</f>
        <v>113.60318085450324</v>
      </c>
      <c r="O8" s="33"/>
      <c r="P8" s="33"/>
      <c r="R8" s="32"/>
    </row>
    <row r="9" spans="1:18">
      <c r="A9" s="6" t="s">
        <v>32</v>
      </c>
      <c r="B9" s="37">
        <f t="shared" si="0"/>
        <v>16689.114000000001</v>
      </c>
      <c r="C9" s="33"/>
      <c r="D9" s="37">
        <f>IF( ISERROR(IND_andere_gas_kWh/1000),0,IND_andere_gas_kWh/1000)*0.902</f>
        <v>2482.2256390044276</v>
      </c>
      <c r="E9" s="33">
        <f>C31*'E Balans VL '!I19/100/3.6*1000000</f>
        <v>4588.8218450614731</v>
      </c>
      <c r="F9" s="33">
        <f>C31*'E Balans VL '!L19/100/3.6*1000000+C31*'E Balans VL '!N19/100/3.6*1000000</f>
        <v>13153.925946345485</v>
      </c>
      <c r="G9" s="34"/>
      <c r="H9" s="33"/>
      <c r="I9" s="33"/>
      <c r="J9" s="40">
        <f>C31*'E Balans VL '!D19/100/3.6*1000000+C31*'E Balans VL '!E19/100/3.6*1000000</f>
        <v>0</v>
      </c>
      <c r="K9" s="33"/>
      <c r="L9" s="33"/>
      <c r="M9" s="33"/>
      <c r="N9" s="33">
        <f>C31*'E Balans VL '!Y19/100/3.6*1000000</f>
        <v>1344.4855405765284</v>
      </c>
      <c r="O9" s="33"/>
      <c r="P9" s="33"/>
      <c r="R9" s="32"/>
    </row>
    <row r="10" spans="1:18">
      <c r="A10" s="6" t="s">
        <v>40</v>
      </c>
      <c r="B10" s="37">
        <f t="shared" si="0"/>
        <v>3251.5929999999998</v>
      </c>
      <c r="C10" s="33"/>
      <c r="D10" s="37">
        <f>IF( ISERROR(IND_voed_gas_kWh/1000),0,IND_voed_gas_kWh/1000)*0.902</f>
        <v>5190.5546100152851</v>
      </c>
      <c r="E10" s="33">
        <f>C32*'E Balans VL '!I20/100/3.6*1000000</f>
        <v>33.148199322195026</v>
      </c>
      <c r="F10" s="33">
        <f>C32*'E Balans VL '!L20/100/3.6*1000000+C32*'E Balans VL '!N20/100/3.6*1000000</f>
        <v>6142.2388402489105</v>
      </c>
      <c r="G10" s="34"/>
      <c r="H10" s="33"/>
      <c r="I10" s="33"/>
      <c r="J10" s="40">
        <f>C32*'E Balans VL '!D20/100/3.6*1000000+C32*'E Balans VL '!E20/100/3.6*1000000</f>
        <v>77.821259750464151</v>
      </c>
      <c r="K10" s="33"/>
      <c r="L10" s="33"/>
      <c r="M10" s="33"/>
      <c r="N10" s="33">
        <f>C32*'E Balans VL '!Y20/100/3.6*1000000</f>
        <v>1713.9640485864654</v>
      </c>
      <c r="O10" s="33"/>
      <c r="P10" s="33"/>
      <c r="R10" s="32"/>
    </row>
    <row r="11" spans="1:18">
      <c r="A11" s="6" t="s">
        <v>39</v>
      </c>
      <c r="B11" s="37">
        <f t="shared" si="0"/>
        <v>185.12700000000001</v>
      </c>
      <c r="C11" s="33"/>
      <c r="D11" s="37">
        <f>IF( ISERROR(IND_textiel_gas_kWh/1000),0,IND_textiel_gas_kWh/1000)*0.902</f>
        <v>0</v>
      </c>
      <c r="E11" s="33">
        <f>C33*'E Balans VL '!I21/100/3.6*1000000</f>
        <v>0.490677117368574</v>
      </c>
      <c r="F11" s="33">
        <f>C33*'E Balans VL '!L21/100/3.6*1000000+C33*'E Balans VL '!N21/100/3.6*1000000</f>
        <v>8.2679627927207058</v>
      </c>
      <c r="G11" s="34"/>
      <c r="H11" s="33"/>
      <c r="I11" s="33"/>
      <c r="J11" s="40">
        <f>C33*'E Balans VL '!D21/100/3.6*1000000+C33*'E Balans VL '!E21/100/3.6*1000000</f>
        <v>0</v>
      </c>
      <c r="K11" s="33"/>
      <c r="L11" s="33"/>
      <c r="M11" s="33"/>
      <c r="N11" s="33">
        <f>C33*'E Balans VL '!Y21/100/3.6*1000000</f>
        <v>1.7446896384245787</v>
      </c>
      <c r="O11" s="33"/>
      <c r="P11" s="33"/>
      <c r="R11" s="32"/>
    </row>
    <row r="12" spans="1:18">
      <c r="A12" s="6" t="s">
        <v>36</v>
      </c>
      <c r="B12" s="37">
        <f t="shared" si="0"/>
        <v>544.00800000000004</v>
      </c>
      <c r="C12" s="33"/>
      <c r="D12" s="37">
        <f>IF( ISERROR(IND_min_gas_kWh/1000),0,IND_min_gas_kWh/1000)*0.902</f>
        <v>0</v>
      </c>
      <c r="E12" s="33">
        <f>C34*'E Balans VL '!I22/100/3.6*1000000</f>
        <v>1.6475541483856952</v>
      </c>
      <c r="F12" s="33">
        <f>C34*'E Balans VL '!L22/100/3.6*1000000+C34*'E Balans VL '!N22/100/3.6*1000000</f>
        <v>17.000717703319012</v>
      </c>
      <c r="G12" s="34"/>
      <c r="H12" s="33"/>
      <c r="I12" s="33"/>
      <c r="J12" s="40">
        <f>C34*'E Balans VL '!D22/100/3.6*1000000+C34*'E Balans VL '!E22/100/3.6*1000000</f>
        <v>0.80664310044682941</v>
      </c>
      <c r="K12" s="33"/>
      <c r="L12" s="33"/>
      <c r="M12" s="33"/>
      <c r="N12" s="33">
        <f>C34*'E Balans VL '!Y22/100/3.6*1000000</f>
        <v>0</v>
      </c>
      <c r="O12" s="33"/>
      <c r="P12" s="33"/>
      <c r="R12" s="32"/>
    </row>
    <row r="13" spans="1:18">
      <c r="A13" s="6" t="s">
        <v>38</v>
      </c>
      <c r="B13" s="37">
        <f t="shared" si="0"/>
        <v>1503.3150000000001</v>
      </c>
      <c r="C13" s="33"/>
      <c r="D13" s="37">
        <f>IF( ISERROR(IND_papier_gas_kWh/1000),0,IND_papier_gas_kWh/1000)*0.902</f>
        <v>456.04423523099592</v>
      </c>
      <c r="E13" s="33">
        <f>C35*'E Balans VL '!I23/100/3.6*1000000</f>
        <v>3.1134668363191143</v>
      </c>
      <c r="F13" s="33">
        <f>C35*'E Balans VL '!L23/100/3.6*1000000+C35*'E Balans VL '!N23/100/3.6*1000000</f>
        <v>29.813959301205273</v>
      </c>
      <c r="G13" s="34"/>
      <c r="H13" s="33"/>
      <c r="I13" s="33"/>
      <c r="J13" s="40">
        <f>C35*'E Balans VL '!D23/100/3.6*1000000+C35*'E Balans VL '!E23/100/3.6*1000000</f>
        <v>0</v>
      </c>
      <c r="K13" s="33"/>
      <c r="L13" s="33"/>
      <c r="M13" s="33"/>
      <c r="N13" s="33">
        <f>C35*'E Balans VL '!Y23/100/3.6*1000000</f>
        <v>104.26249382612868</v>
      </c>
      <c r="O13" s="33"/>
      <c r="P13" s="33"/>
      <c r="R13" s="32"/>
    </row>
    <row r="14" spans="1:18">
      <c r="A14" s="6" t="s">
        <v>33</v>
      </c>
      <c r="B14" s="37">
        <f t="shared" si="0"/>
        <v>5.6829999999999998</v>
      </c>
      <c r="C14" s="33"/>
      <c r="D14" s="37">
        <f>IF( ISERROR(IND_chemie_gas_kWh/1000),0,IND_chemie_gas_kWh/1000)*0.902</f>
        <v>0</v>
      </c>
      <c r="E14" s="33">
        <f>C36*'E Balans VL '!I24/100/3.6*1000000</f>
        <v>2.1306500962474322E-2</v>
      </c>
      <c r="F14" s="33">
        <f>C36*'E Balans VL '!L24/100/3.6*1000000+C36*'E Balans VL '!N24/100/3.6*1000000</f>
        <v>6.6115752160006758E-2</v>
      </c>
      <c r="G14" s="34"/>
      <c r="H14" s="33"/>
      <c r="I14" s="33"/>
      <c r="J14" s="40">
        <f>C36*'E Balans VL '!D24/100/3.6*1000000+C36*'E Balans VL '!E24/100/3.6*1000000</f>
        <v>0</v>
      </c>
      <c r="K14" s="33"/>
      <c r="L14" s="33"/>
      <c r="M14" s="33"/>
      <c r="N14" s="33">
        <f>C36*'E Balans VL '!Y24/100/3.6*1000000</f>
        <v>9.7091327617444059E-2</v>
      </c>
      <c r="O14" s="33"/>
      <c r="P14" s="33"/>
      <c r="R14" s="32"/>
    </row>
    <row r="15" spans="1:18">
      <c r="A15" s="6" t="s">
        <v>269</v>
      </c>
      <c r="B15" s="37">
        <f t="shared" si="0"/>
        <v>37.357999999999997</v>
      </c>
      <c r="C15" s="33"/>
      <c r="D15" s="37">
        <f>IF( ISERROR(IND_rest_gas_kWh/1000),0,IND_rest_gas_kWh/1000)*0.902</f>
        <v>8585.6782245448831</v>
      </c>
      <c r="E15" s="33">
        <f>C37*'E Balans VL '!I15/100/3.6*1000000</f>
        <v>1.9005176564020458</v>
      </c>
      <c r="F15" s="33">
        <f>C37*'E Balans VL '!L15/100/3.6*1000000+C37*'E Balans VL '!N15/100/3.6*1000000</f>
        <v>8.5152937654270868</v>
      </c>
      <c r="G15" s="34"/>
      <c r="H15" s="33"/>
      <c r="I15" s="33"/>
      <c r="J15" s="40">
        <f>C37*'E Balans VL '!D15/100/3.6*1000000+C37*'E Balans VL '!E15/100/3.6*1000000</f>
        <v>0.15672915162098663</v>
      </c>
      <c r="K15" s="33"/>
      <c r="L15" s="33"/>
      <c r="M15" s="33"/>
      <c r="N15" s="33">
        <f>C37*'E Balans VL '!Y15/100/3.6*1000000</f>
        <v>2.0351516491857429</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26738.150442857146</v>
      </c>
      <c r="C18" s="21">
        <f>C5+C16</f>
        <v>0</v>
      </c>
      <c r="D18" s="21">
        <f>MAX((D5+D16),0)</f>
        <v>16714.50270879559</v>
      </c>
      <c r="E18" s="21">
        <f>MAX((E5+E16),0)</f>
        <v>4742.312209793331</v>
      </c>
      <c r="F18" s="21">
        <f>MAX((F5+F16),0)</f>
        <v>20777.031224848895</v>
      </c>
      <c r="G18" s="21"/>
      <c r="H18" s="21"/>
      <c r="I18" s="21"/>
      <c r="J18" s="21">
        <f>MAX((J5+J16),0)</f>
        <v>78.784632002531978</v>
      </c>
      <c r="K18" s="21"/>
      <c r="L18" s="21">
        <f>MAX((L5+L16),0)</f>
        <v>0</v>
      </c>
      <c r="M18" s="21"/>
      <c r="N18" s="21">
        <f>MAX((N5+N16),0)</f>
        <v>3280.1921964588532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0.16753303114725501</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4479.523390963177</v>
      </c>
      <c r="C22" s="23">
        <f ca="1">C18*C20</f>
        <v>0</v>
      </c>
      <c r="D22" s="23">
        <f>D18*D20</f>
        <v>3376.3295471767092</v>
      </c>
      <c r="E22" s="23">
        <f>E18*E20</f>
        <v>1076.5048716230863</v>
      </c>
      <c r="F22" s="23">
        <f>F18*F20</f>
        <v>5547.4673370346554</v>
      </c>
      <c r="G22" s="23"/>
      <c r="H22" s="23"/>
      <c r="I22" s="23"/>
      <c r="J22" s="23">
        <f>J18*J20</f>
        <v>27.889759728896319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4521.9524428571422</v>
      </c>
      <c r="C30" s="39">
        <f>IF(ISERROR(B30*3.6/1000000/'E Balans VL '!Z18*100),0,B30*3.6/1000000/'E Balans VL '!Z18*100)</f>
        <v>0.6329226462700599</v>
      </c>
      <c r="D30" s="237" t="s">
        <v>691</v>
      </c>
    </row>
    <row r="31" spans="1:18">
      <c r="A31" s="6" t="s">
        <v>32</v>
      </c>
      <c r="B31" s="37">
        <f>IF( ISERROR(IND_ander_ele_kWh/1000),0,IND_ander_ele_kWh/1000)</f>
        <v>16689.114000000001</v>
      </c>
      <c r="C31" s="39">
        <f>IF(ISERROR(B31*3.6/1000000/'E Balans VL '!Z19*100),0,B31*3.6/1000000/'E Balans VL '!Z19*100)</f>
        <v>0.73047981242106308</v>
      </c>
      <c r="D31" s="237" t="s">
        <v>691</v>
      </c>
    </row>
    <row r="32" spans="1:18">
      <c r="A32" s="171" t="s">
        <v>40</v>
      </c>
      <c r="B32" s="37">
        <f>IF( ISERROR(IND_voed_ele_kWh/1000),0,IND_voed_ele_kWh/1000)</f>
        <v>3251.5929999999998</v>
      </c>
      <c r="C32" s="39">
        <f>IF(ISERROR(B32*3.6/1000000/'E Balans VL '!Z20*100),0,B32*3.6/1000000/'E Balans VL '!Z20*100)</f>
        <v>0.80498644672263919</v>
      </c>
      <c r="D32" s="237" t="s">
        <v>691</v>
      </c>
    </row>
    <row r="33" spans="1:5">
      <c r="A33" s="171" t="s">
        <v>39</v>
      </c>
      <c r="B33" s="37">
        <f>IF( ISERROR(IND_textiel_ele_kWh/1000),0,IND_textiel_ele_kWh/1000)</f>
        <v>185.12700000000001</v>
      </c>
      <c r="C33" s="39">
        <f>IF(ISERROR(B33*3.6/1000000/'E Balans VL '!Z21*100),0,B33*3.6/1000000/'E Balans VL '!Z21*100)</f>
        <v>2.0860551857850948E-2</v>
      </c>
      <c r="D33" s="237" t="s">
        <v>691</v>
      </c>
    </row>
    <row r="34" spans="1:5">
      <c r="A34" s="171" t="s">
        <v>36</v>
      </c>
      <c r="B34" s="37">
        <f>IF( ISERROR(IND_min_ele_kWh/1000),0,IND_min_ele_kWh/1000)</f>
        <v>544.00800000000004</v>
      </c>
      <c r="C34" s="39">
        <f>IF(ISERROR(B34*3.6/1000000/'E Balans VL '!Z22*100),0,B34*3.6/1000000/'E Balans VL '!Z22*100)</f>
        <v>1.5436727606642239E-2</v>
      </c>
      <c r="D34" s="237" t="s">
        <v>691</v>
      </c>
    </row>
    <row r="35" spans="1:5">
      <c r="A35" s="171" t="s">
        <v>38</v>
      </c>
      <c r="B35" s="37">
        <f>IF( ISERROR(IND_papier_ele_kWh/1000),0,IND_papier_ele_kWh/1000)</f>
        <v>1503.3150000000001</v>
      </c>
      <c r="C35" s="39">
        <f>IF(ISERROR(B35*3.6/1000000/'E Balans VL '!Z22*100),0,B35*3.6/1000000/'E Balans VL '!Z22*100)</f>
        <v>4.2657946504425261E-2</v>
      </c>
      <c r="D35" s="237" t="s">
        <v>691</v>
      </c>
    </row>
    <row r="36" spans="1:5">
      <c r="A36" s="171" t="s">
        <v>33</v>
      </c>
      <c r="B36" s="37">
        <f>IF( ISERROR(IND_chemie_ele_kWh/1000),0,IND_chemie_ele_kWh/1000)</f>
        <v>5.6829999999999998</v>
      </c>
      <c r="C36" s="39">
        <f>IF(ISERROR(B36*3.6/1000000/'E Balans VL '!Z24*100),0,B36*3.6/1000000/'E Balans VL '!Z24*100)</f>
        <v>1.4490782582728958E-4</v>
      </c>
      <c r="D36" s="237" t="s">
        <v>691</v>
      </c>
    </row>
    <row r="37" spans="1:5">
      <c r="A37" s="171" t="s">
        <v>269</v>
      </c>
      <c r="B37" s="37">
        <f>IF( ISERROR(IND_rest_ele_kWh/1000),0,IND_rest_ele_kWh/1000)</f>
        <v>37.357999999999997</v>
      </c>
      <c r="C37" s="39">
        <f>IF(ISERROR(B37*3.6/1000000/'E Balans VL '!Z15*100),0,B37*3.6/1000000/'E Balans VL '!Z15*100)</f>
        <v>2.7700317403974567E-4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1380.886</v>
      </c>
      <c r="C5" s="17">
        <f>'Eigen informatie GS &amp; warmtenet'!B60</f>
        <v>0</v>
      </c>
      <c r="D5" s="30">
        <f>IF(ISERROR(SUM(LB_lb_gas_kWh,LB_rest_gas_kWh)/1000),0,SUM(LB_lb_gas_kWh,LB_rest_gas_kWh)/1000)*0.902</f>
        <v>28734.740216955743</v>
      </c>
      <c r="E5" s="17">
        <f>B17*'E Balans VL '!I25/3.6*1000000/100</f>
        <v>12.79034450022152</v>
      </c>
      <c r="F5" s="17">
        <f>B17*('E Balans VL '!L25/3.6*1000000+'E Balans VL '!N25/3.6*1000000)/100</f>
        <v>3503.5708405130445</v>
      </c>
      <c r="G5" s="18"/>
      <c r="H5" s="17"/>
      <c r="I5" s="17"/>
      <c r="J5" s="17">
        <f>('E Balans VL '!D25+'E Balans VL '!E25)/3.6*1000000*landbouw!B17/100</f>
        <v>211.70523453273771</v>
      </c>
      <c r="K5" s="17"/>
      <c r="L5" s="17">
        <f>L6*(-1)</f>
        <v>0</v>
      </c>
      <c r="M5" s="17"/>
      <c r="N5" s="17">
        <f>N6*(-1)</f>
        <v>0</v>
      </c>
      <c r="O5" s="17"/>
      <c r="P5" s="17"/>
      <c r="R5" s="32"/>
    </row>
    <row r="6" spans="1:18">
      <c r="A6" s="16" t="s">
        <v>493</v>
      </c>
      <c r="B6" s="17" t="s">
        <v>210</v>
      </c>
      <c r="C6" s="17">
        <f>'lokale energieproductie'!O40+'lokale energieproductie'!O33</f>
        <v>20250</v>
      </c>
      <c r="D6" s="308">
        <f>('lokale energieproductie'!P33+'lokale energieproductie'!P40)*(-1)</f>
        <v>-40500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1380.886</v>
      </c>
      <c r="C8" s="21">
        <f>C5+C6</f>
        <v>20250</v>
      </c>
      <c r="D8" s="21">
        <f>MAX((D5+D6),0)</f>
        <v>0</v>
      </c>
      <c r="E8" s="21">
        <f>MAX((E5+E6),0)</f>
        <v>12.79034450022152</v>
      </c>
      <c r="F8" s="21">
        <f>MAX((F5+F6),0)</f>
        <v>3503.5708405130445</v>
      </c>
      <c r="G8" s="21"/>
      <c r="H8" s="21"/>
      <c r="I8" s="21"/>
      <c r="J8" s="21">
        <f>MAX((J5+J6),0)</f>
        <v>211.70523453273771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0.16753303114725501</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231.34401724880837</v>
      </c>
      <c r="C12" s="23">
        <f ca="1">C8*C10</f>
        <v>4812.3529411764703</v>
      </c>
      <c r="D12" s="23">
        <f>D8*D10</f>
        <v>0</v>
      </c>
      <c r="E12" s="23">
        <f>E8*E10</f>
        <v>2.9034082015502851</v>
      </c>
      <c r="F12" s="23">
        <f>F8*F10</f>
        <v>935.45341441698292</v>
      </c>
      <c r="G12" s="23"/>
      <c r="H12" s="23"/>
      <c r="I12" s="23"/>
      <c r="J12" s="23">
        <f>J8*J10</f>
        <v>74.943653024589139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0.19633270935580618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156.08684476305402</v>
      </c>
      <c r="C26" s="247">
        <f>B26*'GWP N2O_CH4'!B5</f>
        <v>3277.8237400241342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70.940415046363967</v>
      </c>
      <c r="C27" s="247">
        <f>B27*'GWP N2O_CH4'!B5</f>
        <v>1489.7487159736434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2.541632571855561</v>
      </c>
      <c r="C28" s="247">
        <f>B28*'GWP N2O_CH4'!B4</f>
        <v>787.90609727522394</v>
      </c>
      <c r="D28" s="50"/>
    </row>
    <row r="29" spans="1:4">
      <c r="A29" s="41" t="s">
        <v>276</v>
      </c>
      <c r="B29" s="247">
        <f>B34*'ha_N2O bodem landbouw'!B4</f>
        <v>16.781160419139074</v>
      </c>
      <c r="C29" s="247">
        <f>B29*'GWP N2O_CH4'!B4</f>
        <v>5202.1597299331124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3.7637186431014823E-3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6.8443588393744543E-5</v>
      </c>
      <c r="C5" s="438" t="s">
        <v>210</v>
      </c>
      <c r="D5" s="423">
        <f>SUM(D6:D11)</f>
        <v>1.2881141035984183E-4</v>
      </c>
      <c r="E5" s="423">
        <f>SUM(E6:E11)</f>
        <v>1.3016936807085915E-3</v>
      </c>
      <c r="F5" s="436" t="s">
        <v>210</v>
      </c>
      <c r="G5" s="423">
        <f>SUM(G6:G11)</f>
        <v>0.41452919308686859</v>
      </c>
      <c r="H5" s="423">
        <f>SUM(H6:H11)</f>
        <v>7.9197188894719661E-2</v>
      </c>
      <c r="I5" s="438" t="s">
        <v>210</v>
      </c>
      <c r="J5" s="438" t="s">
        <v>210</v>
      </c>
      <c r="K5" s="438" t="s">
        <v>210</v>
      </c>
      <c r="L5" s="438" t="s">
        <v>210</v>
      </c>
      <c r="M5" s="423">
        <f>SUM(M6:M11)</f>
        <v>2.644896302840791E-2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4.5704651441156093E-5</v>
      </c>
      <c r="C6" s="424"/>
      <c r="D6" s="866">
        <f>vkm_GW_PW*SUMIFS(TableVerdeelsleutelVkm[CNG],TableVerdeelsleutelVkm[Voertuigtype],"Lichte voertuigen")*SUMIFS(TableECFTransport[EnergieConsumptieFactor (PJ per km)],TableECFTransport[Index],CONCATENATE($A6,"_CNG_CNG"))</f>
        <v>7.9753907764281841E-5</v>
      </c>
      <c r="E6" s="866">
        <f>vkm_GW_PW*SUMIFS(TableVerdeelsleutelVkm[LPG],TableVerdeelsleutelVkm[Voertuigtype],"Lichte voertuigen")*SUMIFS(TableECFTransport[EnergieConsumptieFactor (PJ per km)],TableECFTransport[Index],CONCATENATE($A6,"_LPG_LPG"))</f>
        <v>7.7245580150356145E-4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0.18154040494857618</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4.8840833517689176E-2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1.2014981218086479E-2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7.2319117341372044E-2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1.4024975592555861E-6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4.1928989273945609E-3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7.2720713947154993E-6</v>
      </c>
      <c r="C8" s="424"/>
      <c r="D8" s="426">
        <f>vkm_NGW_PW*SUMIFS(TableVerdeelsleutelVkm[CNG],TableVerdeelsleutelVkm[Voertuigtype],"Lichte voertuigen")*SUMIFS(TableECFTransport[EnergieConsumptieFactor (PJ per km)],TableECFTransport[Index],CONCATENATE($A8,"_CNG_CNG"))</f>
        <v>2.1729324426149212E-5</v>
      </c>
      <c r="E8" s="426">
        <f>vkm_NGW_PW*SUMIFS(TableVerdeelsleutelVkm[LPG],TableVerdeelsleutelVkm[Voertuigtype],"Lichte voertuigen")*SUMIFS(TableECFTransport[EnergieConsumptieFactor (PJ per km)],TableECFTransport[Index],CONCATENATE($A8,"_LPG_LPG"))</f>
        <v>1.9916894564776994E-4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4.3937028672908739E-2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1.2848390832887011E-2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2.9392565938413662E-3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5.9356128752104638E-3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1.4258402247518181E-7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3.441342535422677E-4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1.5466865557872948E-5</v>
      </c>
      <c r="C10" s="424"/>
      <c r="D10" s="426">
        <f>vkm_SW_PW*SUMIFS(TableVerdeelsleutelVkm[CNG],TableVerdeelsleutelVkm[Voertuigtype],"Lichte voertuigen")*SUMIFS(TableECFTransport[EnergieConsumptieFactor (PJ per km)],TableECFTransport[Index],CONCATENATE($A10,"_CNG_CNG"))</f>
        <v>2.7328178169410767E-5</v>
      </c>
      <c r="E10" s="426">
        <f>vkm_SW_PW*SUMIFS(TableVerdeelsleutelVkm[LPG],TableVerdeelsleutelVkm[Voertuigtype],"Lichte voertuigen")*SUMIFS(TableECFTransport[EnergieConsumptieFactor (PJ per km)],TableECFTransport[Index],CONCATENATE($A10,"_LPG_LPG"))</f>
        <v>3.3006893355726024E-4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6.9750524571494818E-2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1.7505573665986318E-2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4.5779069723245851E-3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4.1046504677306354E-2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8.4579657541647327E-7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2.3797850632186553E-3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19.012107887151263</v>
      </c>
      <c r="C14" s="21"/>
      <c r="D14" s="21">
        <f t="shared" ref="D14:M14" si="0">((D5)*10^9/3600)+D12</f>
        <v>35.780947322178285</v>
      </c>
      <c r="E14" s="21">
        <f t="shared" si="0"/>
        <v>361.58157797460876</v>
      </c>
      <c r="F14" s="21"/>
      <c r="G14" s="21">
        <f t="shared" si="0"/>
        <v>115146.99807968571</v>
      </c>
      <c r="H14" s="21">
        <f t="shared" si="0"/>
        <v>21999.219137422129</v>
      </c>
      <c r="I14" s="21"/>
      <c r="J14" s="21"/>
      <c r="K14" s="21"/>
      <c r="L14" s="21"/>
      <c r="M14" s="21">
        <f t="shared" si="0"/>
        <v>7346.9341745577522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0.16753303114725501</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3.1851560628330851</v>
      </c>
      <c r="C18" s="23"/>
      <c r="D18" s="23">
        <f t="shared" ref="D18:M18" si="1">D14*D16</f>
        <v>7.2277513590800142</v>
      </c>
      <c r="E18" s="23">
        <f t="shared" si="1"/>
        <v>82.079018200236192</v>
      </c>
      <c r="F18" s="23"/>
      <c r="G18" s="23">
        <f t="shared" si="1"/>
        <v>30744.248487276087</v>
      </c>
      <c r="H18" s="23">
        <f t="shared" si="1"/>
        <v>5477.8055652181101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1.0748030562947576E-2</v>
      </c>
      <c r="H50" s="319">
        <f t="shared" si="2"/>
        <v>0</v>
      </c>
      <c r="I50" s="319">
        <f t="shared" si="2"/>
        <v>0</v>
      </c>
      <c r="J50" s="319">
        <f t="shared" si="2"/>
        <v>0</v>
      </c>
      <c r="K50" s="319">
        <f t="shared" si="2"/>
        <v>0</v>
      </c>
      <c r="L50" s="319">
        <f t="shared" si="2"/>
        <v>0</v>
      </c>
      <c r="M50" s="319">
        <f t="shared" si="2"/>
        <v>6.1432471311266426E-4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1.0748030562947576E-2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6.1432471311266426E-4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2985.5640452632156</v>
      </c>
      <c r="H54" s="21">
        <f t="shared" si="3"/>
        <v>0</v>
      </c>
      <c r="I54" s="21">
        <f t="shared" si="3"/>
        <v>0</v>
      </c>
      <c r="J54" s="21">
        <f t="shared" si="3"/>
        <v>0</v>
      </c>
      <c r="K54" s="21">
        <f t="shared" si="3"/>
        <v>0</v>
      </c>
      <c r="L54" s="21">
        <f t="shared" si="3"/>
        <v>0</v>
      </c>
      <c r="M54" s="21">
        <f t="shared" si="3"/>
        <v>170.64575364240676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0.16753303114725501</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797.1456000852786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16117.853777307973</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12999.490812080012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14199.75</v>
      </c>
      <c r="C8" s="545">
        <f>B49</f>
        <v>16705.588235294115</v>
      </c>
      <c r="D8" s="1022"/>
      <c r="E8" s="1022">
        <f>E49</f>
        <v>0</v>
      </c>
      <c r="F8" s="1023"/>
      <c r="G8" s="546"/>
      <c r="H8" s="1022">
        <f>I49</f>
        <v>0</v>
      </c>
      <c r="I8" s="1022">
        <f>G49+F49</f>
        <v>0</v>
      </c>
      <c r="J8" s="1022">
        <f>H49+D49+C49</f>
        <v>0</v>
      </c>
      <c r="K8" s="1022"/>
      <c r="L8" s="1022"/>
      <c r="M8" s="1022"/>
      <c r="N8" s="547"/>
      <c r="O8" s="548">
        <f>C8*$C$12+D8*$D$12+E8*$E$12+F8*$F$12+G8*$G$12+H8*$H$12+I8*$I$12+J8*$J$12</f>
        <v>3374.5288235294115</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43317.094589387983</v>
      </c>
      <c r="C10" s="558">
        <f t="shared" ref="C10:L10" si="0">SUM(C8:C9)</f>
        <v>16705.588235294115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3374.5288235294115</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20285.357142857141</v>
      </c>
      <c r="C17" s="570">
        <f>B50</f>
        <v>23865.126050420164</v>
      </c>
      <c r="D17" s="571"/>
      <c r="E17" s="571">
        <f>E50</f>
        <v>0</v>
      </c>
      <c r="F17" s="1028"/>
      <c r="G17" s="572"/>
      <c r="H17" s="570">
        <f>I50</f>
        <v>0</v>
      </c>
      <c r="I17" s="571">
        <f>G50+F50</f>
        <v>0</v>
      </c>
      <c r="J17" s="571">
        <f>H50+D50+C50</f>
        <v>0</v>
      </c>
      <c r="K17" s="571"/>
      <c r="L17" s="571"/>
      <c r="M17" s="571"/>
      <c r="N17" s="1029"/>
      <c r="O17" s="573">
        <f>C17*$C$22+E17*$E$22+H17*$H$22+I17*$I$22+J17*$J$22+D17*$D$22+F17*$F$22+G17*$G$22+K17*$K$22+L17*$L$22</f>
        <v>4820.7554621848731</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20285.357142857141</v>
      </c>
      <c r="C20" s="557">
        <f>SUM(C17:C19)</f>
        <v>23865.126050420164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4820.7554621848731</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24020</v>
      </c>
      <c r="C28" s="771">
        <v>3290</v>
      </c>
      <c r="D28" s="628" t="s">
        <v>913</v>
      </c>
      <c r="E28" s="627" t="s">
        <v>914</v>
      </c>
      <c r="F28" s="627" t="s">
        <v>915</v>
      </c>
      <c r="G28" s="627" t="s">
        <v>916</v>
      </c>
      <c r="H28" s="627" t="s">
        <v>917</v>
      </c>
      <c r="I28" s="627" t="s">
        <v>918</v>
      </c>
      <c r="J28" s="770">
        <v>37839</v>
      </c>
      <c r="K28" s="770">
        <v>38687</v>
      </c>
      <c r="L28" s="627" t="s">
        <v>919</v>
      </c>
      <c r="M28" s="627">
        <v>5.5</v>
      </c>
      <c r="N28" s="627">
        <v>24.75</v>
      </c>
      <c r="O28" s="627">
        <v>35.357142857142861</v>
      </c>
      <c r="P28" s="627">
        <v>70.714285714285722</v>
      </c>
      <c r="Q28" s="627">
        <v>0</v>
      </c>
      <c r="R28" s="627">
        <v>0</v>
      </c>
      <c r="S28" s="627">
        <v>0</v>
      </c>
      <c r="T28" s="627">
        <v>0</v>
      </c>
      <c r="U28" s="627">
        <v>0</v>
      </c>
      <c r="V28" s="627">
        <v>0</v>
      </c>
      <c r="W28" s="627">
        <v>0</v>
      </c>
      <c r="X28" s="627">
        <v>1600</v>
      </c>
      <c r="Y28" s="627" t="s">
        <v>49</v>
      </c>
      <c r="Z28" s="629" t="s">
        <v>155</v>
      </c>
    </row>
    <row r="29" spans="1:26" s="581" customFormat="1" ht="25.5">
      <c r="A29" s="580"/>
      <c r="B29" s="771">
        <v>24020</v>
      </c>
      <c r="C29" s="771">
        <v>3294</v>
      </c>
      <c r="D29" s="628" t="s">
        <v>920</v>
      </c>
      <c r="E29" s="627" t="s">
        <v>921</v>
      </c>
      <c r="F29" s="627" t="s">
        <v>922</v>
      </c>
      <c r="G29" s="627" t="s">
        <v>916</v>
      </c>
      <c r="H29" s="627" t="s">
        <v>917</v>
      </c>
      <c r="I29" s="627" t="s">
        <v>921</v>
      </c>
      <c r="J29" s="770">
        <v>40165</v>
      </c>
      <c r="K29" s="770">
        <v>39211</v>
      </c>
      <c r="L29" s="627" t="s">
        <v>919</v>
      </c>
      <c r="M29" s="627">
        <v>3150</v>
      </c>
      <c r="N29" s="627">
        <v>14175</v>
      </c>
      <c r="O29" s="627">
        <v>20250</v>
      </c>
      <c r="P29" s="627">
        <v>40500</v>
      </c>
      <c r="Q29" s="627">
        <v>0</v>
      </c>
      <c r="R29" s="627">
        <v>0</v>
      </c>
      <c r="S29" s="627">
        <v>0</v>
      </c>
      <c r="T29" s="627">
        <v>0</v>
      </c>
      <c r="U29" s="627">
        <v>0</v>
      </c>
      <c r="V29" s="627">
        <v>0</v>
      </c>
      <c r="W29" s="627">
        <v>0</v>
      </c>
      <c r="X29" s="627">
        <v>10</v>
      </c>
      <c r="Y29" s="627" t="s">
        <v>111</v>
      </c>
      <c r="Z29" s="629" t="s">
        <v>111</v>
      </c>
    </row>
    <row r="30" spans="1:26" s="565" customFormat="1">
      <c r="A30" s="583" t="s">
        <v>279</v>
      </c>
      <c r="B30" s="584"/>
      <c r="C30" s="584"/>
      <c r="D30" s="584"/>
      <c r="E30" s="584"/>
      <c r="F30" s="584"/>
      <c r="G30" s="584"/>
      <c r="H30" s="584"/>
      <c r="I30" s="584"/>
      <c r="J30" s="584"/>
      <c r="K30" s="584"/>
      <c r="L30" s="585"/>
      <c r="M30" s="585">
        <f>SUM(M28:M29)</f>
        <v>3155.5</v>
      </c>
      <c r="N30" s="585">
        <f>SUM(N28:N29)</f>
        <v>14199.75</v>
      </c>
      <c r="O30" s="585">
        <f>SUM(O28:O29)</f>
        <v>20285.357142857141</v>
      </c>
      <c r="P30" s="585">
        <f>SUM(P28:P29)</f>
        <v>40570.714285714283</v>
      </c>
      <c r="Q30" s="585">
        <f>SUM(Q28:Q29)</f>
        <v>0</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5.5</v>
      </c>
      <c r="N32" s="585">
        <f ca="1">SUMIF($Z$28:AD29,"tertiair",N28:N29)</f>
        <v>24.75</v>
      </c>
      <c r="O32" s="585">
        <f ca="1">SUMIF($Z$28:AE29,"tertiair",O28:O29)</f>
        <v>35.357142857142861</v>
      </c>
      <c r="P32" s="585">
        <f ca="1">SUMIF($Z$28:AF29,"tertiair",P28:P29)</f>
        <v>70.714285714285722</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3150</v>
      </c>
      <c r="N33" s="590">
        <f>SUMIF($Z$28:$Z$29,"landbouw",N28:N29)</f>
        <v>14175</v>
      </c>
      <c r="O33" s="590">
        <f>SUMIF($Z$28:$Z$29,"landbouw",O28:O29)</f>
        <v>20250</v>
      </c>
      <c r="P33" s="590">
        <f>SUMIF($Z$28:$Z$29,"landbouw",P28:P29)</f>
        <v>40500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0.58823529411764697</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16705.588235294115</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23865.126050420164</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2020-06-20T16:05:31Z</dcterms:modified>
</cp:coreProperties>
</file>