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O4" i="48"/>
  <c r="O22" i="48" s="1"/>
  <c r="P11" i="14"/>
  <c r="P4" i="48"/>
  <c r="P22" i="48" s="1"/>
  <c r="Q11" i="14"/>
  <c r="J15" i="16"/>
  <c r="B7" i="48"/>
  <c r="C24" i="14"/>
  <c r="C26" i="14" s="1"/>
  <c r="B4" i="48"/>
  <c r="C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P16" i="14" s="1"/>
  <c r="P27" i="14" s="1"/>
  <c r="P33" i="48"/>
  <c r="F24" i="14"/>
  <c r="F26" i="14" s="1"/>
  <c r="E7" i="48"/>
  <c r="E25" i="48" s="1"/>
  <c r="Q63" i="14"/>
  <c r="P46" i="14"/>
  <c r="P61" i="14" s="1"/>
  <c r="P63" i="14" s="1"/>
  <c r="O15" i="48"/>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33" i="48"/>
  <c r="J15" i="48"/>
  <c r="J22" i="16"/>
  <c r="K43" i="14" s="1"/>
  <c r="K46" i="14" s="1"/>
  <c r="K61" i="14" s="1"/>
  <c r="K13" i="14"/>
  <c r="K16" i="14" s="1"/>
  <c r="K27" i="14" s="1"/>
  <c r="J8" i="48"/>
  <c r="J26" i="48" s="1"/>
  <c r="G33" i="48"/>
  <c r="I22" i="14"/>
  <c r="I27" i="14" s="1"/>
  <c r="I63" i="14" s="1"/>
  <c r="R20" i="14"/>
  <c r="R22" i="14" s="1"/>
  <c r="H27" i="48"/>
  <c r="H33" i="48" s="1"/>
  <c r="H15" i="48"/>
  <c r="O13" i="14"/>
  <c r="N8" i="48"/>
  <c r="N26" i="48" s="1"/>
  <c r="F8" i="48"/>
  <c r="G13" i="14"/>
  <c r="K63" i="14"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<sst xmlns="http://schemas.openxmlformats.org/spreadsheetml/2006/main" count="2443" uniqueCount="919">
  <si>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</si>
  <si>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</si>
  <si>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</si>
  <si>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</si>
  <si>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</si>
  <si>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</si>
  <si>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</si>
  <si>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</si>
  <si>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</si>
  <si>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</si>
  <si>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</si>
  <si>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</si>
  <si>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</si>
  <si>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</si>
  <si>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</si>
  <si>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</si>
  <si>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</si>
  <si>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</si>
  <si>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</si>
  <si>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</si>
  <si>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</si>
  <si>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</si>
  <si>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</si>
  <si>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</si>
  <si>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</si>
  <si>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</si>
  <si>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</si>
  <si>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</si>
  <si>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</si>
  <si>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</si>
  <si>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</si>
  <si>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</si>
  <si>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</si>
  <si>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</si>
  <si>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</si>
  <si>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</si>
  <si>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</si>
  <si>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</si>
  <si>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</si>
  <si>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</si>
  <si>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</si>
  <si>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</si>
  <si>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</si>
  <si>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</si>
  <si>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</si>
  <si>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</si>
  <si>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</si>
  <si>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</si>
  <si>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</si>
  <si>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</si>
  <si>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</si>
  <si>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</si>
  <si>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</si>
  <si>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</si>
  <si>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</si>
  <si>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</si>
  <si>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</si>
  <si>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</si>
  <si>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</si>
  <si>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</si>
  <si>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</si>
  <si>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</si>
  <si>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</si>
  <si>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</si>
  <si>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</si>
  <si>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</si>
  <si>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</si>
  <si>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</si>
  <si>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</si>
  <si>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</si>
  <si>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</si>
  <si>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</si>
  <si>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</si>
  <si>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</si>
  <si>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</si>
  <si>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</si>
  <si>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</si>
  <si>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</si>
  <si>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</si>
  <si>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</si>
  <si>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</si>
  <si>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</si>
  <si>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</si>
  <si>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</si>
  <si>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</si>
  <si>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</si>
  <si>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</si>
  <si>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</si>
  <si>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</si>
  <si>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</si>
  <si>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</si>
  <si>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</si>
  <si>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</si>
  <si>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</si>
  <si>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</si>
  <si>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</si>
  <si>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</si>
  <si>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</si>
  <si>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</si>
  <si>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</si>
  <si>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</si>
  <si>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</si>
  <si>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</si>
  <si>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</si>
  <si>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</si>
  <si>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</si>
  <si>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</si>
  <si>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</si>
  <si>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</si>
  <si>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</si>
  <si>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</si>
  <si>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</si>
  <si>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</si>
  <si>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</si>
  <si>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</si>
  <si>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</si>
  <si>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</si>
  <si>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</si>
  <si>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</si>
  <si>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</si>
  <si>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</si>
  <si>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</si>
  <si>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</si>
  <si>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</si>
  <si>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</si>
  <si>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</si>
  <si>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</si>
  <si>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</si>
  <si>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</si>
  <si>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</si>
  <si>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</si>
  <si>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</si>
  <si>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</si>
  <si>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</si>
  <si>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</si>
  <si>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</si>
  <si>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</si>
  <si>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</si>
  <si>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</si>
  <si>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</si>
  <si>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</si>
  <si>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</si>
  <si>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</si>
  <si>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</si>
  <si>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</si>
  <si>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</si>
  <si>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</si>
  <si>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</si>
  <si>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</si>
  <si>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</si>
  <si>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</si>
  <si>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</si>
  <si>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</si>
  <si>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</si>
  <si>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</si>
  <si>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</si>
  <si>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</si>
  <si>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</si>
  <si>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</si>
  <si>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</si>
  <si>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</si>
  <si>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</si>
  <si>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</si>
  <si>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</si>
  <si>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</si>
  <si>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</si>
  <si>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</si>
  <si>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</si>
  <si>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</si>
  <si>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</si>
  <si>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</si>
  <si>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</si>
  <si>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</si>
  <si>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</si>
  <si>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</si>
  <si>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</si>
  <si>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</si>
  <si>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</si>
  <si>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</si>
  <si>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</si>
  <si>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</si>
  <si>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</si>
  <si>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</si>
  <si>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</si>
  <si>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</si>
  <si>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</si>
  <si>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</si>
  <si>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</si>
  <si>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</si>
  <si>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</si>
  <si>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</si>
  <si>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</si>
  <si>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</si>
  <si>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</si>
  <si>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</si>
  <si>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</si>
  <si>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</si>
  <si>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</si>
  <si>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</si>
  <si>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</si>
  <si>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</si>
  <si>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</si>
  <si>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</si>
  <si>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</si>
  <si>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</si>
  <si>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</si>
  <si>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</si>
  <si>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</si>
  <si>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</si>
  <si>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</si>
  <si>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</si>
  <si>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</si>
  <si>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</si>
  <si>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</si>
  <si>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</si>
  <si>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</si>
  <si>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</si>
  <si>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</si>
  <si>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</si>
  <si>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</si>
  <si>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</si>
  <si>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</si>
  <si>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</si>
  <si>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</si>
  <si>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</si>
  <si>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</si>
  <si>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</si>
  <si>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</si>
  <si>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</si>
  <si>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</si>
  <si>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</si>
  <si>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</si>
  <si>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</si>
  <si>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</si>
  <si>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</si>
  <si>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</si>
  <si>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</si>
  <si>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</si>
  <si>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</si>
  <si>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</si>
  <si>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</si>
  <si>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</si>
  <si>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</si>
  <si>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</si>
  <si>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</si>
  <si>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</si>
  <si>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</si>
  <si>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</si>
  <si>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</si>
  <si>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</si>
  <si>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</si>
  <si>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</si>
  <si>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</si>
  <si>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</si>
  <si>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</si>
  <si>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</si>
  <si>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</si>
  <si>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</si>
  <si>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</si>
  <si>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</si>
  <si>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</si>
  <si>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</si>
  <si>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</si>
  <si>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</si>
  <si>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</si>
  <si>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</si>
  <si>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</si>
  <si>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</si>
  <si>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</si>
  <si>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</si>
  <si>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</si>
  <si>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</si>
  <si>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</si>
  <si>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</si>
  <si>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</si>
  <si>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</si>
  <si>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</si>
  <si>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</si>
  <si>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</si>
  <si>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</si>
  <si>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</si>
  <si>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</si>
  <si>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</si>
  <si>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</si>
  <si>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</si>
  <si>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</si>
  <si>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</si>
  <si>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</si>
  <si>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</si>
  <si>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</si>
  <si>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</si>
  <si>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</si>
  <si>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</si>
  <si>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</si>
  <si>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</si>
  <si>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</si>
  <si>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</si>
  <si>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</si>
  <si>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</si>
  <si>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</si>
  <si>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</si>
  <si>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</si>
  <si>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</si>
  <si>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</si>
  <si>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</si>
  <si>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</si>
  <si>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</si>
  <si>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</si>
  <si>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</si>
  <si>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</si>
  <si>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</si>
  <si>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</si>
  <si>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</si>
  <si>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</si>
  <si>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</si>
  <si>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</si>
  <si>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</si>
  <si>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</si>
  <si>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</si>
  <si>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</si>
  <si>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</si>
  <si>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</si>
  <si>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</si>
  <si>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</si>
  <si>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</si>
  <si>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</si>
  <si>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</si>
  <si>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</si>
  <si>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</si>
  <si>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</si>
  <si>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</si>
  <si>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</si>
  <si>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</si>
  <si>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</si>
  <si>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</si>
  <si>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</si>
  <si>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</si>
  <si>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</si>
  <si>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</si>
  <si>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</si>
  <si>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</si>
  <si>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</si>
  <si>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</si>
  <si>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</si>
  <si>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</si>
  <si>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</si>
  <si>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</si>
  <si>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</si>
  <si>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</si>
  <si>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</si>
  <si>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</si>
  <si>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</si>
  <si>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</si>
  <si>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</si>
  <si>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</si>
  <si>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</si>
  <si>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</si>
  <si>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</si>
  <si>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</si>
  <si>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</si>
  <si>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</si>
  <si>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</si>
  <si>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</si>
  <si>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</si>
  <si>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</si>
  <si>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</si>
  <si>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</si>
  <si>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</si>
  <si>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</si>
  <si>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</si>
  <si>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</si>
  <si>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</si>
  <si>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</si>
  <si>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</si>
  <si>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</si>
  <si>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</si>
  <si>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</si>
  <si>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</si>
  <si>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</si>
  <si>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</si>
  <si>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</si>
  <si>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</si>
  <si>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</si>
  <si>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</si>
  <si>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</si>
  <si>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</si>
  <si>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</si>
  <si>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</si>
  <si>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</si>
  <si>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</si>
  <si>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</si>
  <si>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</si>
  <si>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</si>
  <si>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</si>
  <si>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</si>
  <si>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</si>
  <si>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</si>
  <si>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</si>
  <si>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</si>
  <si>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</si>
  <si>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</si>
  <si>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</si>
  <si>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</si>
  <si>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</si>
  <si>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</si>
  <si>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</si>
  <si>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</si>
  <si>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</si>
  <si>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</si>
  <si>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</si>
  <si>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</si>
  <si>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</si>
  <si>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</si>
  <si>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</si>
  <si>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</si>
  <si>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</si>
  <si>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</si>
  <si>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</si>
  <si>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</si>
  <si>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</si>
  <si>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</si>
  <si>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</si>
  <si>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</si>
  <si>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</si>
  <si>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</si>
  <si>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</si>
  <si>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</si>
  <si>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</si>
  <si>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</si>
  <si>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</si>
  <si>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</si>
  <si>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</si>
  <si>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</si>
  <si>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</si>
  <si>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</si>
  <si>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</si>
  <si>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</si>
  <si>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</si>
  <si>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</si>
  <si>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</si>
  <si>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</si>
  <si>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</si>
  <si>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</si>
  <si>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</si>
  <si>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</si>
  <si>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</si>
  <si>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</si>
  <si>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</si>
  <si>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</si>
  <si>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</si>
  <si>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</si>
  <si>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</si>
  <si>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</si>
  <si>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</si>
  <si>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</si>
  <si>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</si>
  <si>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</si>
  <si>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</si>
  <si>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</si>
  <si>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</si>
  <si>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</si>
  <si>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</si>
  <si>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</si>
  <si>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</si>
  <si>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</si>
  <si>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</si>
  <si>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</si>
  <si>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</si>
  <si>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</si>
  <si>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</si>
  <si>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</si>
  <si>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</si>
  <si>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</si>
  <si>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</si>
  <si>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</si>
  <si>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</si>
  <si>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</si>
  <si>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</si>
  <si>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</si>
  <si>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</si>
  <si>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</si>
  <si>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</si>
  <si>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</si>
  <si>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</si>
  <si>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</si>
  <si>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</si>
  <si>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</si>
  <si>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</si>
  <si>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</si>
  <si>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</si>
  <si>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</si>
  <si>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</si>
  <si>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</si>
  <si>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</si>
  <si>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</si>
  <si>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</si>
  <si>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</si>
  <si>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</si>
  <si>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</si>
  <si>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</si>
  <si>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</si>
  <si>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</si>
  <si>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</si>
  <si>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</si>
  <si>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</si>
  <si>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</si>
  <si>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</si>
  <si>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</si>
  <si>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</si>
  <si>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</si>
  <si>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</si>
  <si>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</si>
  <si>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</si>
  <si>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</si>
  <si>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</si>
  <si>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</si>
  <si>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</si>
  <si>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</si>
  <si>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</si>
  <si>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</si>
  <si>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</si>
  <si>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</si>
  <si>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</si>
  <si>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</si>
  <si>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</si>
  <si>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</si>
  <si>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</si>
  <si>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</si>
  <si>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</si>
  <si>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</si>
  <si>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</si>
  <si>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</si>
  <si>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</si>
  <si>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</si>
  <si>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</si>
  <si>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</si>
  <si>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</si>
  <si>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</si>
  <si>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</si>
  <si>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</si>
  <si>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</si>
  <si>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</si>
  <si>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</si>
  <si>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</si>
  <si>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</si>
  <si>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</si>
  <si>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</si>
  <si>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</si>
  <si>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</si>
  <si>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</si>
  <si>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</si>
  <si>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</si>
  <si>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</si>
  <si>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</si>
  <si>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</si>
  <si>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</si>
  <si>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</si>
  <si>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</si>
  <si>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</si>
  <si>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</si>
  <si>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</si>
  <si>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</si>
  <si>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</si>
  <si>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</si>
  <si>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</si>
  <si>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</si>
  <si>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</si>
  <si>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</si>
  <si>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</si>
  <si>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</si>
  <si>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</si>
  <si>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</si>
  <si>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</si>
  <si>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</si>
  <si>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</si>
  <si>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</si>
  <si>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</si>
  <si>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</si>
  <si>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</si>
  <si>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</si>
  <si>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</si>
  <si>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</si>
  <si>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</si>
  <si>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</si>
  <si>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</si>
  <si>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</si>
  <si>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</si>
  <si>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</si>
  <si>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</si>
  <si>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</si>
  <si>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</si>
  <si>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</si>
  <si>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</si>
  <si>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</si>
  <si>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</si>
  <si>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</si>
  <si>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</si>
  <si>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</si>
  <si>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</si>
  <si>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</si>
  <si>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</si>
  <si>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</si>
  <si>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</si>
  <si>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</si>
  <si>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</si>
  <si>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</si>
  <si>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</si>
  <si>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</si>
  <si>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</si>
  <si>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</si>
  <si>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</si>
  <si>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</si>
  <si>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</si>
  <si>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</si>
  <si>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</si>
  <si>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</si>
  <si>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</si>
  <si>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</si>
  <si>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</si>
  <si>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</si>
  <si>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</si>
  <si>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</si>
  <si>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</si>
  <si>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</si>
  <si>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</si>
  <si>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</si>
  <si>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</si>
  <si>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</si>
  <si>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</si>
  <si>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</si>
  <si>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</si>
  <si>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</si>
  <si>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</si>
  <si>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</si>
  <si>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</si>
  <si>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</si>
  <si>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</si>
  <si>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</si>
  <si>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</si>
  <si>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</si>
  <si>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</si>
  <si>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</si>
  <si>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</si>
  <si>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</si>
  <si>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</si>
  <si>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</si>
  <si>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</si>
  <si>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</si>
  <si>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</si>
  <si>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</si>
  <si>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</si>
  <si>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</si>
  <si>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</si>
  <si>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</si>
  <si>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</si>
  <si>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</si>
  <si>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</si>
  <si>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</si>
  <si>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</si>
  <si>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</si>
  <si>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</si>
  <si>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</si>
  <si>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</si>
  <si>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</si>
  <si>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</si>
  <si>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</si>
  <si>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</si>
  <si>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</si>
  <si>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</si>
  <si>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</si>
  <si>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</si>
  <si>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</si>
  <si>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</si>
  <si>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</si>
  <si>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</si>
  <si>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</si>
  <si>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</si>
  <si>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</si>
  <si>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</si>
  <si>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</si>
  <si>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</si>
  <si>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</si>
  <si>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</si>
  <si>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</si>
  <si>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</si>
  <si>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</si>
  <si>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</si>
  <si>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</si>
  <si>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</si>
  <si>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</si>
  <si>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</si>
  <si>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</si>
  <si>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</si>
  <si>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</si>
  <si>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</si>
  <si>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</si>
  <si>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</si>
  <si>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</si>
  <si>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</si>
  <si>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</si>
  <si>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</si>
  <si>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</si>
  <si>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</si>
  <si>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</si>
  <si>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</si>
  <si>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</si>
  <si>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</si>
  <si>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</si>
  <si>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</si>
  <si>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</si>
  <si>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</si>
  <si>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</si>
  <si>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</si>
  <si>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</si>
  <si>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</si>
  <si>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</si>
  <si>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</si>
  <si>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</si>
  <si>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</si>
  <si>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</si>
  <si>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</si>
  <si>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</si>
  <si>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</si>
  <si>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</si>
  <si>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</si>
  <si>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</si>
  <si>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</si>
  <si>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</si>
  <si>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</si>
  <si>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</si>
  <si>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</si>
  <si>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</si>
  <si>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</si>
  <si>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</si>
  <si>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</si>
  <si>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</si>
  <si>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</si>
  <si>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</si>
  <si>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</si>
  <si>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</si>
  <si>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</si>
  <si>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</si>
  <si>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</si>
  <si>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</si>
  <si>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</si>
  <si>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</si>
  <si>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</si>
  <si>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</si>
  <si>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</si>
  <si>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</si>
  <si>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</si>
  <si>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</si>
  <si>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</si>
  <si>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</si>
  <si>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</si>
  <si>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</si>
  <si>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</si>
  <si>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</si>
  <si>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</si>
  <si>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</si>
  <si>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</si>
  <si>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</si>
  <si>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</si>
  <si>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</si>
  <si>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</si>
  <si>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</si>
  <si>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</si>
  <si>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</si>
  <si>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</si>
  <si>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</si>
  <si>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</si>
  <si>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</si>
  <si>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</si>
  <si>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</si>
  <si>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</si>
  <si>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</si>
  <si>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</si>
  <si>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</si>
  <si>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</si>
  <si>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</si>
  <si>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</si>
  <si>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</si>
  <si>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</si>
  <si>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</si>
  <si>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</si>
  <si>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</si>
  <si>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</si>
  <si>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</si>
  <si>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</si>
  <si>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</si>
  <si>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</si>
  <si>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</si>
  <si>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</si>
  <si>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</si>
  <si>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</si>
  <si>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</si>
  <si>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</si>
  <si>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</si>
  <si>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</si>
  <si>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</si>
  <si>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</si>
  <si>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</si>
  <si>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</si>
  <si>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</si>
  <si>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</si>
  <si>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</si>
  <si>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</si>
  <si>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</si>
  <si>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</si>
  <si>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</si>
  <si>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</si>
  <si>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</si>
  <si>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</si>
  <si>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</si>
  <si>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</si>
  <si>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</si>
  <si>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</si>
  <si>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</si>
  <si>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</si>
  <si>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</si>
  <si>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</si>
  <si>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</si>
  <si>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</si>
  <si>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</si>
  <si>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</si>
  <si>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</si>
  <si>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</si>
  <si>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</si>
  <si>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</si>
  <si>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</si>
  <si>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</si>
  <si>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</si>
  <si>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</si>
  <si>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</si>
  <si>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</si>
  <si>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</si>
  <si>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</si>
  <si>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</si>
  <si>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</si>
  <si>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</si>
  <si>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</si>
  <si>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</si>
  <si>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</si>
  <si>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</si>
  <si>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</si>
  <si>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</si>
  <si>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</si>
  <si>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</si>
  <si>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</si>
  <si>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</si>
  <si>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</si>
  <si>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</si>
  <si>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</si>
  <si>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</si>
  <si>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</si>
  <si>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</si>
  <si>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</si>
  <si>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</si>
  <si>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</si>
  <si>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</si>
  <si>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</si>
  <si>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</si>
  <si>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</si>
  <si>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</si>
  <si>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</si>
  <si>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</si>
  <si>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</si>
  <si>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</si>
  <si>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</si>
  <si>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</si>
  <si>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</si>
  <si>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</si>
  <si>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</si>
  <si>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</si>
  <si>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</si>
  <si>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</si>
  <si>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</si>
  <si>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</si>
  <si>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</si>
  <si>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</si>
  <si>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</si>
  <si>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</si>
  <si>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</si>
  <si>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</si>
  <si>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</si>
  <si>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</si>
  <si>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</si>
  <si>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</si>
  <si>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</si>
  <si>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</si>
  <si>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</si>
  <si>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</si>
  <si>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</si>
  <si>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</si>
  <si>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</si>
  <si>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</si>
  <si>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</si>
  <si>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</si>
  <si>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</si>
  <si>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</si>
  <si>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</si>
  <si>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</si>
  <si>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</si>
  <si>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</si>
  <si>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</si>
  <si>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</si>
  <si>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</si>
  <si>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23105</t>
  </si>
  <si>
    <t>AFFLIGEM</t>
  </si>
  <si>
    <t>Paarden&amp;pony's 200 - 600 kg</t>
  </si>
  <si>
    <t>Paarden&amp;pony's &lt; 200 kg</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</si>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</sst>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115069.522052067</c:v>
                </c:pt>
                <c:pt idx="1">
                  <c:v>17093.638359581364</c:v>
                </c:pt>
                <c:pt idx="2">
                  <c:v>813.82</c:v>
                </c:pt>
                <c:pt idx="3">
                  <c:v>702.89610801006324</c:v>
                </c:pt>
                <c:pt idx="4">
                  <c:v>4274.2982733258114</c:v>
                </c:pt>
                <c:pt idx="5">
                  <c:v>213762.79081204912</c:v>
                </c:pt>
                <c:pt idx="6">
                  <c:v>1476.0995156440504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115069.522052067</c:v>
                </c:pt>
                <c:pt idx="1">
                  <c:v>17093.638359581364</c:v>
                </c:pt>
                <c:pt idx="2">
                  <c:v>813.82</c:v>
                </c:pt>
                <c:pt idx="3">
                  <c:v>702.89610801006324</c:v>
                </c:pt>
                <c:pt idx="4">
                  <c:v>4274.2982733258114</c:v>
                </c:pt>
                <c:pt idx="5">
                  <c:v>213762.79081204912</c:v>
                </c:pt>
                <c:pt idx="6">
                  <c:v>1476.0995156440504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24992.278018905574</c:v>
                </c:pt>
                <c:pt idx="2">
                  <c:v>3465.2359326762471</c:v>
                </c:pt>
                <c:pt idx="3">
                  <c:v>167.81163904666178</c:v>
                </c:pt>
                <c:pt idx="4">
                  <c:v>176.37113164623261</c:v>
                </c:pt>
                <c:pt idx="5">
                  <c:v>898.25714524900286</c:v>
                </c:pt>
                <c:pt idx="6">
                  <c:v>53605.258963390421</c:v>
                </c:pt>
                <c:pt idx="7">
                  <c:v>372.8098919760215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24992.278018905574</c:v>
                </c:pt>
                <c:pt idx="2">
                  <c:v>3465.2359326762471</c:v>
                </c:pt>
                <c:pt idx="3">
                  <c:v>167.81163904666178</c:v>
                </c:pt>
                <c:pt idx="4">
                  <c:v>176.37113164623261</c:v>
                </c:pt>
                <c:pt idx="5">
                  <c:v>898.25714524900286</c:v>
                </c:pt>
                <c:pt idx="6">
                  <c:v>53605.258963390421</c:v>
                </c:pt>
                <c:pt idx="7">
                  <c:v>372.8098919760215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23105</v>
      </c>
      <c r="B6" s="391"/>
      <c r="C6" s="392"/>
    </row>
    <row r="7" spans="1:7" s="389" customFormat="1" ht="15.75" customHeight="1">
      <c r="A7" s="393" t="str">
        <f>txtMunicipality</f>
        <v>AFFLIGEM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8271.2950000000001</v>
      </c>
      <c r="D10" s="991">
        <f ca="1">tertiair!C16</f>
        <v>57.857142857142861</v>
      </c>
      <c r="E10" s="991">
        <f ca="1">tertiair!D16</f>
        <v>7836.2433410572085</v>
      </c>
      <c r="F10" s="991">
        <f>tertiair!E16</f>
        <v>109.36420784979107</v>
      </c>
      <c r="G10" s="991">
        <f ca="1">tertiair!F16</f>
        <v>1146.0309461185623</v>
      </c>
      <c r="H10" s="991">
        <f>tertiair!G16</f>
        <v>0</v>
      </c>
      <c r="I10" s="991">
        <f>tertiair!H16</f>
        <v>0</v>
      </c>
      <c r="J10" s="991">
        <f>tertiair!I16</f>
        <v>0</v>
      </c>
      <c r="K10" s="991">
        <f>tertiair!J16</f>
        <v>0</v>
      </c>
      <c r="L10" s="991">
        <f>tertiair!K16</f>
        <v>0</v>
      </c>
      <c r="M10" s="991">
        <f ca="1">tertiair!L16</f>
        <v>0</v>
      </c>
      <c r="N10" s="991">
        <f>tertiair!M16</f>
        <v>0</v>
      </c>
      <c r="O10" s="991">
        <f ca="1">tertiair!N16</f>
        <v>464.47438836532706</v>
      </c>
      <c r="P10" s="991">
        <f>tertiair!O16</f>
        <v>3.1266666666666669</v>
      </c>
      <c r="Q10" s="992">
        <f>tertiair!P16</f>
        <v>19.066666666666666</v>
      </c>
      <c r="R10" s="675">
        <f ca="1">SUM(C10:Q10)</f>
        <v>17907.458359581364</v>
      </c>
      <c r="S10" s="67"/>
    </row>
    <row r="11" spans="1:19" s="448" customFormat="1">
      <c r="A11" s="784" t="s">
        <v>224</v>
      </c>
      <c r="B11" s="789"/>
      <c r="C11" s="991">
        <f>huishoudens!B8</f>
        <v>25572.492399471146</v>
      </c>
      <c r="D11" s="991">
        <f>huishoudens!C8</f>
        <v>0</v>
      </c>
      <c r="E11" s="991">
        <f>huishoudens!D8</f>
        <v>30764.284398776752</v>
      </c>
      <c r="F11" s="991">
        <f>huishoudens!E8</f>
        <v>16530.523897606963</v>
      </c>
      <c r="G11" s="991">
        <f>huishoudens!F8</f>
        <v>36525.671459964004</v>
      </c>
      <c r="H11" s="991">
        <f>huishoudens!G8</f>
        <v>0</v>
      </c>
      <c r="I11" s="991">
        <f>huishoudens!H8</f>
        <v>0</v>
      </c>
      <c r="J11" s="991">
        <f>huishoudens!I8</f>
        <v>0</v>
      </c>
      <c r="K11" s="991">
        <f>huishoudens!J8</f>
        <v>0</v>
      </c>
      <c r="L11" s="991">
        <f>huishoudens!K8</f>
        <v>0</v>
      </c>
      <c r="M11" s="991">
        <f>huishoudens!L8</f>
        <v>0</v>
      </c>
      <c r="N11" s="991">
        <f>huishoudens!M8</f>
        <v>0</v>
      </c>
      <c r="O11" s="991">
        <f>huishoudens!N8</f>
        <v>4674.7232295814747</v>
      </c>
      <c r="P11" s="991">
        <f>huishoudens!O8</f>
        <v>143.82666666666668</v>
      </c>
      <c r="Q11" s="992">
        <f>huishoudens!P8</f>
        <v>858</v>
      </c>
      <c r="R11" s="675">
        <f>SUM(C11:Q11)</f>
        <v>115069.522052067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1627.52909</v>
      </c>
      <c r="D13" s="991">
        <f>industrie!C18</f>
        <v>0</v>
      </c>
      <c r="E13" s="991">
        <f>industrie!D18</f>
        <v>1132.9099389865896</v>
      </c>
      <c r="F13" s="991">
        <f>industrie!E18</f>
        <v>153.76663114836788</v>
      </c>
      <c r="G13" s="991">
        <f>industrie!F18</f>
        <v>1104.6734963251286</v>
      </c>
      <c r="H13" s="991">
        <f>industrie!G18</f>
        <v>0</v>
      </c>
      <c r="I13" s="991">
        <f>industrie!H18</f>
        <v>0</v>
      </c>
      <c r="J13" s="991">
        <f>industrie!I18</f>
        <v>0</v>
      </c>
      <c r="K13" s="991">
        <f>industrie!J18</f>
        <v>11.175368924687739</v>
      </c>
      <c r="L13" s="991">
        <f>industrie!K18</f>
        <v>0</v>
      </c>
      <c r="M13" s="991">
        <f>industrie!L18</f>
        <v>0</v>
      </c>
      <c r="N13" s="991">
        <f>industrie!M18</f>
        <v>0</v>
      </c>
      <c r="O13" s="991">
        <f>industrie!N18</f>
        <v>244.24374794103738</v>
      </c>
      <c r="P13" s="991">
        <f>industrie!O18</f>
        <v>0</v>
      </c>
      <c r="Q13" s="992">
        <f>industrie!P18</f>
        <v>0</v>
      </c>
      <c r="R13" s="675">
        <f>SUM(C13:Q13)</f>
        <v>4274.2982733258114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35471.316489471152</v>
      </c>
      <c r="D16" s="707">
        <f t="shared" ref="D16:R16" ca="1" si="0">SUM(D9:D15)</f>
        <v>57.857142857142861</v>
      </c>
      <c r="E16" s="707">
        <f t="shared" ca="1" si="0"/>
        <v>39733.437678820548</v>
      </c>
      <c r="F16" s="707">
        <f t="shared" si="0"/>
        <v>16793.65473660512</v>
      </c>
      <c r="G16" s="707">
        <f t="shared" ca="1" si="0"/>
        <v>38776.375902407694</v>
      </c>
      <c r="H16" s="707">
        <f t="shared" si="0"/>
        <v>0</v>
      </c>
      <c r="I16" s="707">
        <f t="shared" si="0"/>
        <v>0</v>
      </c>
      <c r="J16" s="707">
        <f t="shared" si="0"/>
        <v>0</v>
      </c>
      <c r="K16" s="707">
        <f t="shared" si="0"/>
        <v>11.175368924687739</v>
      </c>
      <c r="L16" s="707">
        <f t="shared" si="0"/>
        <v>0</v>
      </c>
      <c r="M16" s="707">
        <f t="shared" ca="1" si="0"/>
        <v>0</v>
      </c>
      <c r="N16" s="707">
        <f t="shared" si="0"/>
        <v>0</v>
      </c>
      <c r="O16" s="707">
        <f t="shared" ca="1" si="0"/>
        <v>5383.4413658878393</v>
      </c>
      <c r="P16" s="707">
        <f t="shared" si="0"/>
        <v>146.95333333333335</v>
      </c>
      <c r="Q16" s="707">
        <f t="shared" si="0"/>
        <v>877.06666666666672</v>
      </c>
      <c r="R16" s="707">
        <f t="shared" ca="1" si="0"/>
        <v>137251.27868497418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1396.2917302472715</v>
      </c>
      <c r="I19" s="991">
        <f>transport!H54</f>
        <v>0</v>
      </c>
      <c r="J19" s="991">
        <f>transport!I54</f>
        <v>0</v>
      </c>
      <c r="K19" s="991">
        <f>transport!J54</f>
        <v>0</v>
      </c>
      <c r="L19" s="991">
        <f>transport!K54</f>
        <v>0</v>
      </c>
      <c r="M19" s="991">
        <f>transport!L54</f>
        <v>0</v>
      </c>
      <c r="N19" s="991">
        <f>transport!M54</f>
        <v>79.807785396778911</v>
      </c>
      <c r="O19" s="991">
        <f>transport!N54</f>
        <v>0</v>
      </c>
      <c r="P19" s="991">
        <f>transport!O54</f>
        <v>0</v>
      </c>
      <c r="Q19" s="992">
        <f>transport!P54</f>
        <v>0</v>
      </c>
      <c r="R19" s="675">
        <f>SUM(C19:Q19)</f>
        <v>1476.0995156440504</v>
      </c>
      <c r="S19" s="67"/>
    </row>
    <row r="20" spans="1:19" s="448" customFormat="1">
      <c r="A20" s="784" t="s">
        <v>306</v>
      </c>
      <c r="B20" s="789"/>
      <c r="C20" s="991">
        <f>transport!B14</f>
        <v>24.315112315188639</v>
      </c>
      <c r="D20" s="991">
        <f>transport!C14</f>
        <v>0</v>
      </c>
      <c r="E20" s="991">
        <f>transport!D14</f>
        <v>46.694119112504076</v>
      </c>
      <c r="F20" s="991">
        <f>transport!E14</f>
        <v>528.31181588467928</v>
      </c>
      <c r="G20" s="991">
        <f>transport!F14</f>
        <v>0</v>
      </c>
      <c r="H20" s="991">
        <f>transport!G14</f>
        <v>172890.78259107302</v>
      </c>
      <c r="I20" s="991">
        <f>transport!H14</f>
        <v>29353.603143516375</v>
      </c>
      <c r="J20" s="991">
        <f>transport!I14</f>
        <v>0</v>
      </c>
      <c r="K20" s="991">
        <f>transport!J14</f>
        <v>0</v>
      </c>
      <c r="L20" s="991">
        <f>transport!K14</f>
        <v>0</v>
      </c>
      <c r="M20" s="991">
        <f>transport!L14</f>
        <v>0</v>
      </c>
      <c r="N20" s="991">
        <f>transport!M14</f>
        <v>10919.084030147338</v>
      </c>
      <c r="O20" s="991">
        <f>transport!N14</f>
        <v>0</v>
      </c>
      <c r="P20" s="991">
        <f>transport!O14</f>
        <v>0</v>
      </c>
      <c r="Q20" s="992">
        <f>transport!P14</f>
        <v>0</v>
      </c>
      <c r="R20" s="675">
        <f>SUM(C20:Q20)</f>
        <v>213762.79081204912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24.315112315188639</v>
      </c>
      <c r="D22" s="787">
        <f t="shared" ref="D22:R22" si="1">SUM(D18:D21)</f>
        <v>0</v>
      </c>
      <c r="E22" s="787">
        <f t="shared" si="1"/>
        <v>46.694119112504076</v>
      </c>
      <c r="F22" s="787">
        <f t="shared" si="1"/>
        <v>528.31181588467928</v>
      </c>
      <c r="G22" s="787">
        <f t="shared" si="1"/>
        <v>0</v>
      </c>
      <c r="H22" s="787">
        <f t="shared" si="1"/>
        <v>174287.07432132028</v>
      </c>
      <c r="I22" s="787">
        <f t="shared" si="1"/>
        <v>29353.603143516375</v>
      </c>
      <c r="J22" s="787">
        <f t="shared" si="1"/>
        <v>0</v>
      </c>
      <c r="K22" s="787">
        <f t="shared" si="1"/>
        <v>0</v>
      </c>
      <c r="L22" s="787">
        <f t="shared" si="1"/>
        <v>0</v>
      </c>
      <c r="M22" s="787">
        <f t="shared" si="1"/>
        <v>0</v>
      </c>
      <c r="N22" s="787">
        <f t="shared" si="1"/>
        <v>10998.891815544117</v>
      </c>
      <c r="O22" s="787">
        <f t="shared" si="1"/>
        <v>0</v>
      </c>
      <c r="P22" s="787">
        <f t="shared" si="1"/>
        <v>0</v>
      </c>
      <c r="Q22" s="787">
        <f t="shared" si="1"/>
        <v>0</v>
      </c>
      <c r="R22" s="787">
        <f t="shared" si="1"/>
        <v>215238.89032769317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178.48579999999998</v>
      </c>
      <c r="D24" s="991">
        <f>+landbouw!C8</f>
        <v>0</v>
      </c>
      <c r="E24" s="991">
        <f>+landbouw!D8</f>
        <v>42.540756616389935</v>
      </c>
      <c r="F24" s="991">
        <f>+landbouw!E8</f>
        <v>1.6532102363248216</v>
      </c>
      <c r="G24" s="991">
        <f>+landbouw!F8</f>
        <v>452.85247611000688</v>
      </c>
      <c r="H24" s="991">
        <f>+landbouw!G8</f>
        <v>0</v>
      </c>
      <c r="I24" s="991">
        <f>+landbouw!H8</f>
        <v>0</v>
      </c>
      <c r="J24" s="991">
        <f>+landbouw!I8</f>
        <v>0</v>
      </c>
      <c r="K24" s="991">
        <f>+landbouw!J8</f>
        <v>27.363865047341569</v>
      </c>
      <c r="L24" s="991">
        <f>+landbouw!K8</f>
        <v>0</v>
      </c>
      <c r="M24" s="991">
        <f>+landbouw!L8</f>
        <v>0</v>
      </c>
      <c r="N24" s="991">
        <f>+landbouw!M8</f>
        <v>0</v>
      </c>
      <c r="O24" s="991">
        <f>+landbouw!N8</f>
        <v>0</v>
      </c>
      <c r="P24" s="991">
        <f>+landbouw!O8</f>
        <v>0</v>
      </c>
      <c r="Q24" s="992">
        <f>+landbouw!P8</f>
        <v>0</v>
      </c>
      <c r="R24" s="675">
        <f>SUM(C24:Q24)</f>
        <v>702.89610801006324</v>
      </c>
      <c r="S24" s="67"/>
    </row>
    <row r="25" spans="1:19" s="448" customFormat="1" ht="15" thickBot="1">
      <c r="A25" s="806" t="s">
        <v>849</v>
      </c>
      <c r="B25" s="994"/>
      <c r="C25" s="995">
        <f>IF(Onbekend_ele_kWh="---",0,Onbekend_ele_kWh)/1000+IF(REST_rest_ele_kWh="---",0,REST_rest_ele_kWh)/1000</f>
        <v>708.28089999999997</v>
      </c>
      <c r="D25" s="995"/>
      <c r="E25" s="995">
        <f>IF(onbekend_gas_kWh="---",0,onbekend_gas_kWh)/1000+IF(REST_rest_gas_kWh="---",0,REST_rest_gas_kWh)/1000</f>
        <v>927.85654433571892</v>
      </c>
      <c r="F25" s="995"/>
      <c r="G25" s="995"/>
      <c r="H25" s="995"/>
      <c r="I25" s="995"/>
      <c r="J25" s="995"/>
      <c r="K25" s="995"/>
      <c r="L25" s="995"/>
      <c r="M25" s="995"/>
      <c r="N25" s="995"/>
      <c r="O25" s="995"/>
      <c r="P25" s="995"/>
      <c r="Q25" s="996"/>
      <c r="R25" s="675">
        <f>SUM(C25:Q25)</f>
        <v>1636.137444335719</v>
      </c>
      <c r="S25" s="67"/>
    </row>
    <row r="26" spans="1:19" s="448" customFormat="1" ht="15.75" thickBot="1">
      <c r="A26" s="680" t="s">
        <v>850</v>
      </c>
      <c r="B26" s="792"/>
      <c r="C26" s="787">
        <f>SUM(C24:C25)</f>
        <v>886.7666999999999</v>
      </c>
      <c r="D26" s="787">
        <f t="shared" ref="D26:R26" si="2">SUM(D24:D25)</f>
        <v>0</v>
      </c>
      <c r="E26" s="787">
        <f t="shared" si="2"/>
        <v>970.39730095210882</v>
      </c>
      <c r="F26" s="787">
        <f t="shared" si="2"/>
        <v>1.6532102363248216</v>
      </c>
      <c r="G26" s="787">
        <f t="shared" si="2"/>
        <v>452.85247611000688</v>
      </c>
      <c r="H26" s="787">
        <f t="shared" si="2"/>
        <v>0</v>
      </c>
      <c r="I26" s="787">
        <f t="shared" si="2"/>
        <v>0</v>
      </c>
      <c r="J26" s="787">
        <f t="shared" si="2"/>
        <v>0</v>
      </c>
      <c r="K26" s="787">
        <f t="shared" si="2"/>
        <v>27.363865047341569</v>
      </c>
      <c r="L26" s="787">
        <f t="shared" si="2"/>
        <v>0</v>
      </c>
      <c r="M26" s="787">
        <f t="shared" si="2"/>
        <v>0</v>
      </c>
      <c r="N26" s="787">
        <f t="shared" si="2"/>
        <v>0</v>
      </c>
      <c r="O26" s="787">
        <f t="shared" si="2"/>
        <v>0</v>
      </c>
      <c r="P26" s="787">
        <f t="shared" si="2"/>
        <v>0</v>
      </c>
      <c r="Q26" s="787">
        <f t="shared" si="2"/>
        <v>0</v>
      </c>
      <c r="R26" s="787">
        <f t="shared" si="2"/>
        <v>2339.0335523457825</v>
      </c>
      <c r="S26" s="67"/>
    </row>
    <row r="27" spans="1:19" s="448" customFormat="1" ht="17.25" thickTop="1" thickBot="1">
      <c r="A27" s="681" t="s">
        <v>115</v>
      </c>
      <c r="B27" s="780"/>
      <c r="C27" s="682">
        <f ca="1">C22+C16+C26</f>
        <v>36382.398301786343</v>
      </c>
      <c r="D27" s="682">
        <f t="shared" ref="D27:R27" ca="1" si="3">D22+D16+D26</f>
        <v>57.857142857142861</v>
      </c>
      <c r="E27" s="682">
        <f t="shared" ca="1" si="3"/>
        <v>40750.529098885156</v>
      </c>
      <c r="F27" s="682">
        <f t="shared" si="3"/>
        <v>17323.619762726124</v>
      </c>
      <c r="G27" s="682">
        <f t="shared" ca="1" si="3"/>
        <v>39229.228378517699</v>
      </c>
      <c r="H27" s="682">
        <f t="shared" si="3"/>
        <v>174287.07432132028</v>
      </c>
      <c r="I27" s="682">
        <f t="shared" si="3"/>
        <v>29353.603143516375</v>
      </c>
      <c r="J27" s="682">
        <f t="shared" si="3"/>
        <v>0</v>
      </c>
      <c r="K27" s="682">
        <f t="shared" si="3"/>
        <v>38.539233972029308</v>
      </c>
      <c r="L27" s="682">
        <f t="shared" si="3"/>
        <v>0</v>
      </c>
      <c r="M27" s="682">
        <f t="shared" ca="1" si="3"/>
        <v>0</v>
      </c>
      <c r="N27" s="682">
        <f t="shared" si="3"/>
        <v>10998.891815544117</v>
      </c>
      <c r="O27" s="682">
        <f t="shared" ca="1" si="3"/>
        <v>5383.4413658878393</v>
      </c>
      <c r="P27" s="682">
        <f t="shared" si="3"/>
        <v>146.95333333333335</v>
      </c>
      <c r="Q27" s="682">
        <f t="shared" si="3"/>
        <v>877.06666666666672</v>
      </c>
      <c r="R27" s="682">
        <f t="shared" ca="1" si="3"/>
        <v>354829.20256501314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1705.5608992018608</v>
      </c>
      <c r="D40" s="991">
        <f ca="1">tertiair!C20</f>
        <v>13.749579831932778</v>
      </c>
      <c r="E40" s="991">
        <f ca="1">tertiair!D20</f>
        <v>1582.9211548935561</v>
      </c>
      <c r="F40" s="991">
        <f>tertiair!E20</f>
        <v>24.825675181902575</v>
      </c>
      <c r="G40" s="991">
        <f ca="1">tertiair!F20</f>
        <v>305.99026261365617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3633.0475717229087</v>
      </c>
    </row>
    <row r="41" spans="1:18">
      <c r="A41" s="797" t="s">
        <v>224</v>
      </c>
      <c r="B41" s="804"/>
      <c r="C41" s="991">
        <f ca="1">huishoudens!B12</f>
        <v>5273.1093657854981</v>
      </c>
      <c r="D41" s="991">
        <f ca="1">huishoudens!C12</f>
        <v>0</v>
      </c>
      <c r="E41" s="991">
        <f>huishoudens!D12</f>
        <v>6214.3854485529046</v>
      </c>
      <c r="F41" s="991">
        <f>huishoudens!E12</f>
        <v>3752.4289247567808</v>
      </c>
      <c r="G41" s="991">
        <f>huishoudens!F12</f>
        <v>9752.3542798103899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24992.278018905574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335.60040818488352</v>
      </c>
      <c r="D43" s="991">
        <f ca="1">industrie!C22</f>
        <v>0</v>
      </c>
      <c r="E43" s="991">
        <f>industrie!D22</f>
        <v>228.84780767529111</v>
      </c>
      <c r="F43" s="991">
        <f>industrie!E22</f>
        <v>34.905025270679509</v>
      </c>
      <c r="G43" s="991">
        <f>industrie!F22</f>
        <v>294.94782351880934</v>
      </c>
      <c r="H43" s="991">
        <f>industrie!G22</f>
        <v>0</v>
      </c>
      <c r="I43" s="991">
        <f>industrie!H22</f>
        <v>0</v>
      </c>
      <c r="J43" s="991">
        <f>industrie!I22</f>
        <v>0</v>
      </c>
      <c r="K43" s="991">
        <f>industrie!J22</f>
        <v>3.9560805993394594</v>
      </c>
      <c r="L43" s="991">
        <f>industrie!K22</f>
        <v>0</v>
      </c>
      <c r="M43" s="991">
        <f>industrie!L22</f>
        <v>0</v>
      </c>
      <c r="N43" s="991">
        <f>industrie!M22</f>
        <v>0</v>
      </c>
      <c r="O43" s="991">
        <f>industrie!N22</f>
        <v>0</v>
      </c>
      <c r="P43" s="991">
        <f>industrie!O22</f>
        <v>0</v>
      </c>
      <c r="Q43" s="749">
        <f>industrie!P22</f>
        <v>0</v>
      </c>
      <c r="R43" s="824">
        <f t="shared" ca="1" si="4"/>
        <v>898.25714524900286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7314.2706731722419</v>
      </c>
      <c r="D46" s="707">
        <f t="shared" ref="D46:Q46" ca="1" si="5">SUM(D39:D45)</f>
        <v>13.749579831932778</v>
      </c>
      <c r="E46" s="707">
        <f t="shared" ca="1" si="5"/>
        <v>8026.1544111217518</v>
      </c>
      <c r="F46" s="707">
        <f t="shared" si="5"/>
        <v>3812.1596252093627</v>
      </c>
      <c r="G46" s="707">
        <f t="shared" ca="1" si="5"/>
        <v>10353.292365942854</v>
      </c>
      <c r="H46" s="707">
        <f t="shared" si="5"/>
        <v>0</v>
      </c>
      <c r="I46" s="707">
        <f t="shared" si="5"/>
        <v>0</v>
      </c>
      <c r="J46" s="707">
        <f t="shared" si="5"/>
        <v>0</v>
      </c>
      <c r="K46" s="707">
        <f t="shared" si="5"/>
        <v>3.9560805993394594</v>
      </c>
      <c r="L46" s="707">
        <f t="shared" si="5"/>
        <v>0</v>
      </c>
      <c r="M46" s="707">
        <f t="shared" ca="1" si="5"/>
        <v>0</v>
      </c>
      <c r="N46" s="707">
        <f t="shared" si="5"/>
        <v>0</v>
      </c>
      <c r="O46" s="707">
        <f t="shared" ca="1" si="5"/>
        <v>0</v>
      </c>
      <c r="P46" s="707">
        <f t="shared" si="5"/>
        <v>0</v>
      </c>
      <c r="Q46" s="707">
        <f t="shared" si="5"/>
        <v>0</v>
      </c>
      <c r="R46" s="707">
        <f ca="1">SUM(R39:R45)</f>
        <v>29523.582735877484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372.8098919760215</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372.8098919760215</v>
      </c>
    </row>
    <row r="50" spans="1:18">
      <c r="A50" s="800" t="s">
        <v>306</v>
      </c>
      <c r="B50" s="810"/>
      <c r="C50" s="678">
        <f ca="1">transport!B18</f>
        <v>5.0138345717916453</v>
      </c>
      <c r="D50" s="678">
        <f>transport!C18</f>
        <v>0</v>
      </c>
      <c r="E50" s="678">
        <f>transport!D18</f>
        <v>9.4322120607258242</v>
      </c>
      <c r="F50" s="678">
        <f>transport!E18</f>
        <v>119.92678220582221</v>
      </c>
      <c r="G50" s="678">
        <f>transport!F18</f>
        <v>0</v>
      </c>
      <c r="H50" s="678">
        <f>transport!G18</f>
        <v>46161.838951816499</v>
      </c>
      <c r="I50" s="678">
        <f>transport!H18</f>
        <v>7309.0471827355777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53605.258963390421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5.0138345717916453</v>
      </c>
      <c r="D52" s="707">
        <f t="shared" ref="D52:Q52" ca="1" si="6">SUM(D48:D51)</f>
        <v>0</v>
      </c>
      <c r="E52" s="707">
        <f t="shared" si="6"/>
        <v>9.4322120607258242</v>
      </c>
      <c r="F52" s="707">
        <f t="shared" si="6"/>
        <v>119.92678220582221</v>
      </c>
      <c r="G52" s="707">
        <f t="shared" si="6"/>
        <v>0</v>
      </c>
      <c r="H52" s="707">
        <f t="shared" si="6"/>
        <v>46534.648843792522</v>
      </c>
      <c r="I52" s="707">
        <f t="shared" si="6"/>
        <v>7309.0471827355777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53978.068855366444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36.804200737945322</v>
      </c>
      <c r="D54" s="678">
        <f ca="1">+landbouw!C12</f>
        <v>0</v>
      </c>
      <c r="E54" s="678">
        <f>+landbouw!D12</f>
        <v>8.5932328365107669</v>
      </c>
      <c r="F54" s="678">
        <f>+landbouw!E12</f>
        <v>0.3752787236457345</v>
      </c>
      <c r="G54" s="678">
        <f>+landbouw!F12</f>
        <v>120.91161112137185</v>
      </c>
      <c r="H54" s="678">
        <f>+landbouw!G12</f>
        <v>0</v>
      </c>
      <c r="I54" s="678">
        <f>+landbouw!H12</f>
        <v>0</v>
      </c>
      <c r="J54" s="678">
        <f>+landbouw!I12</f>
        <v>0</v>
      </c>
      <c r="K54" s="678">
        <f>+landbouw!J12</f>
        <v>9.6868082267589148</v>
      </c>
      <c r="L54" s="678">
        <f>+landbouw!K12</f>
        <v>0</v>
      </c>
      <c r="M54" s="678">
        <f>+landbouw!L12</f>
        <v>0</v>
      </c>
      <c r="N54" s="678">
        <f>+landbouw!M12</f>
        <v>0</v>
      </c>
      <c r="O54" s="678">
        <f>+landbouw!N12</f>
        <v>0</v>
      </c>
      <c r="P54" s="678">
        <f>+landbouw!O12</f>
        <v>0</v>
      </c>
      <c r="Q54" s="679">
        <f>+landbouw!P12</f>
        <v>0</v>
      </c>
      <c r="R54" s="706">
        <f ca="1">SUM(C54:Q54)</f>
        <v>176.37113164623261</v>
      </c>
    </row>
    <row r="55" spans="1:18" ht="15" thickBot="1">
      <c r="A55" s="800" t="s">
        <v>849</v>
      </c>
      <c r="B55" s="810"/>
      <c r="C55" s="678">
        <f ca="1">C25*'EF ele_warmte'!B12</f>
        <v>146.04922308919018</v>
      </c>
      <c r="D55" s="678"/>
      <c r="E55" s="678">
        <f>E25*EF_CO2_aardgas</f>
        <v>187.42702195581523</v>
      </c>
      <c r="F55" s="678"/>
      <c r="G55" s="678"/>
      <c r="H55" s="678"/>
      <c r="I55" s="678"/>
      <c r="J55" s="678"/>
      <c r="K55" s="678"/>
      <c r="L55" s="678"/>
      <c r="M55" s="678"/>
      <c r="N55" s="678"/>
      <c r="O55" s="678"/>
      <c r="P55" s="678"/>
      <c r="Q55" s="679"/>
      <c r="R55" s="706">
        <f ca="1">SUM(C55:Q55)</f>
        <v>333.47624504500538</v>
      </c>
    </row>
    <row r="56" spans="1:18" ht="15.75" thickBot="1">
      <c r="A56" s="798" t="s">
        <v>850</v>
      </c>
      <c r="B56" s="811"/>
      <c r="C56" s="707">
        <f ca="1">SUM(C54:C55)</f>
        <v>182.85342382713549</v>
      </c>
      <c r="D56" s="707">
        <f t="shared" ref="D56:Q56" ca="1" si="7">SUM(D54:D55)</f>
        <v>0</v>
      </c>
      <c r="E56" s="707">
        <f t="shared" si="7"/>
        <v>196.020254792326</v>
      </c>
      <c r="F56" s="707">
        <f t="shared" si="7"/>
        <v>0.3752787236457345</v>
      </c>
      <c r="G56" s="707">
        <f t="shared" si="7"/>
        <v>120.91161112137185</v>
      </c>
      <c r="H56" s="707">
        <f t="shared" si="7"/>
        <v>0</v>
      </c>
      <c r="I56" s="707">
        <f t="shared" si="7"/>
        <v>0</v>
      </c>
      <c r="J56" s="707">
        <f t="shared" si="7"/>
        <v>0</v>
      </c>
      <c r="K56" s="707">
        <f t="shared" si="7"/>
        <v>9.6868082267589148</v>
      </c>
      <c r="L56" s="707">
        <f t="shared" si="7"/>
        <v>0</v>
      </c>
      <c r="M56" s="707">
        <f t="shared" si="7"/>
        <v>0</v>
      </c>
      <c r="N56" s="707">
        <f t="shared" si="7"/>
        <v>0</v>
      </c>
      <c r="O56" s="707">
        <f t="shared" si="7"/>
        <v>0</v>
      </c>
      <c r="P56" s="707">
        <f t="shared" si="7"/>
        <v>0</v>
      </c>
      <c r="Q56" s="708">
        <f t="shared" si="7"/>
        <v>0</v>
      </c>
      <c r="R56" s="709">
        <f ca="1">SUM(R54:R55)</f>
        <v>509.84737669123797</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7502.1379315711692</v>
      </c>
      <c r="D61" s="715">
        <f t="shared" ref="D61:Q61" ca="1" si="8">D46+D52+D56</f>
        <v>13.749579831932778</v>
      </c>
      <c r="E61" s="715">
        <f t="shared" ca="1" si="8"/>
        <v>8231.6068779748039</v>
      </c>
      <c r="F61" s="715">
        <f t="shared" si="8"/>
        <v>3932.4616861388308</v>
      </c>
      <c r="G61" s="715">
        <f t="shared" ca="1" si="8"/>
        <v>10474.203977064226</v>
      </c>
      <c r="H61" s="715">
        <f t="shared" si="8"/>
        <v>46534.648843792522</v>
      </c>
      <c r="I61" s="715">
        <f t="shared" si="8"/>
        <v>7309.0471827355777</v>
      </c>
      <c r="J61" s="715">
        <f t="shared" si="8"/>
        <v>0</v>
      </c>
      <c r="K61" s="715">
        <f t="shared" si="8"/>
        <v>13.642888826098375</v>
      </c>
      <c r="L61" s="715">
        <f t="shared" si="8"/>
        <v>0</v>
      </c>
      <c r="M61" s="715">
        <f t="shared" ca="1" si="8"/>
        <v>0</v>
      </c>
      <c r="N61" s="715">
        <f t="shared" si="8"/>
        <v>0</v>
      </c>
      <c r="O61" s="715">
        <f t="shared" ca="1" si="8"/>
        <v>0</v>
      </c>
      <c r="P61" s="715">
        <f t="shared" si="8"/>
        <v>0</v>
      </c>
      <c r="Q61" s="715">
        <f t="shared" si="8"/>
        <v>0</v>
      </c>
      <c r="R61" s="715">
        <f ca="1">R46+R52+R56</f>
        <v>84011.498967935157</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0.20620240230844872</v>
      </c>
      <c r="D63" s="756">
        <f t="shared" ca="1" si="9"/>
        <v>0.23764705882352946</v>
      </c>
      <c r="E63" s="1002">
        <f t="shared" ca="1" si="9"/>
        <v>0.20200000000000007</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2439.1235249138617</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40.5</v>
      </c>
      <c r="D76" s="1012">
        <f>'lokale energieproductie'!C8</f>
        <v>47.647058823529413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9.6247058823529414</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2439.1235249138617</v>
      </c>
      <c r="C78" s="730">
        <f>SUM(C72:C77)</f>
        <v>40.5</v>
      </c>
      <c r="D78" s="731">
        <f t="shared" ref="D78:H78" si="10">SUM(D76:D77)</f>
        <v>47.647058823529413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9.6247058823529414</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57.857142857142861</v>
      </c>
      <c r="D87" s="752">
        <f>'lokale energieproductie'!C17</f>
        <v>68.067226890756316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13.749579831932778</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57.857142857142861</v>
      </c>
      <c r="D90" s="730">
        <f t="shared" ref="D90:H90" si="12">SUM(D87:D89)</f>
        <v>68.067226890756316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13.749579831932778</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25572.492399471146</v>
      </c>
      <c r="C4" s="452">
        <f>huishoudens!C8</f>
        <v>0</v>
      </c>
      <c r="D4" s="452">
        <f>huishoudens!D8</f>
        <v>30764.284398776752</v>
      </c>
      <c r="E4" s="452">
        <f>huishoudens!E8</f>
        <v>16530.523897606963</v>
      </c>
      <c r="F4" s="452">
        <f>huishoudens!F8</f>
        <v>36525.671459964004</v>
      </c>
      <c r="G4" s="452">
        <f>huishoudens!G8</f>
        <v>0</v>
      </c>
      <c r="H4" s="452">
        <f>huishoudens!H8</f>
        <v>0</v>
      </c>
      <c r="I4" s="452">
        <f>huishoudens!I8</f>
        <v>0</v>
      </c>
      <c r="J4" s="452">
        <f>huishoudens!J8</f>
        <v>0</v>
      </c>
      <c r="K4" s="452">
        <f>huishoudens!K8</f>
        <v>0</v>
      </c>
      <c r="L4" s="452">
        <f>huishoudens!L8</f>
        <v>0</v>
      </c>
      <c r="M4" s="452">
        <f>huishoudens!M8</f>
        <v>0</v>
      </c>
      <c r="N4" s="452">
        <f>huishoudens!N8</f>
        <v>4674.7232295814747</v>
      </c>
      <c r="O4" s="452">
        <f>huishoudens!O8</f>
        <v>143.82666666666668</v>
      </c>
      <c r="P4" s="453">
        <f>huishoudens!P8</f>
        <v>858</v>
      </c>
      <c r="Q4" s="454">
        <f>SUM(B4:P4)</f>
        <v>115069.522052067</v>
      </c>
    </row>
    <row r="5" spans="1:17">
      <c r="A5" s="451" t="s">
        <v>155</v>
      </c>
      <c r="B5" s="452">
        <f ca="1">tertiair!B16</f>
        <v>7457.4749999999995</v>
      </c>
      <c r="C5" s="452">
        <f ca="1">tertiair!C16</f>
        <v>57.857142857142861</v>
      </c>
      <c r="D5" s="452">
        <f ca="1">tertiair!D16</f>
        <v>7836.2433410572085</v>
      </c>
      <c r="E5" s="452">
        <f>tertiair!E16</f>
        <v>109.36420784979107</v>
      </c>
      <c r="F5" s="452">
        <f ca="1">tertiair!F16</f>
        <v>1146.0309461185623</v>
      </c>
      <c r="G5" s="452">
        <f>tertiair!G16</f>
        <v>0</v>
      </c>
      <c r="H5" s="452">
        <f>tertiair!H16</f>
        <v>0</v>
      </c>
      <c r="I5" s="452">
        <f>tertiair!I16</f>
        <v>0</v>
      </c>
      <c r="J5" s="452">
        <f>tertiair!J16</f>
        <v>0</v>
      </c>
      <c r="K5" s="452">
        <f>tertiair!K16</f>
        <v>0</v>
      </c>
      <c r="L5" s="452">
        <f ca="1">tertiair!L16</f>
        <v>0</v>
      </c>
      <c r="M5" s="452">
        <f>tertiair!M16</f>
        <v>0</v>
      </c>
      <c r="N5" s="452">
        <f ca="1">tertiair!N16</f>
        <v>464.47438836532706</v>
      </c>
      <c r="O5" s="452">
        <f>tertiair!O16</f>
        <v>3.1266666666666669</v>
      </c>
      <c r="P5" s="453">
        <f>tertiair!P16</f>
        <v>19.066666666666666</v>
      </c>
      <c r="Q5" s="451">
        <f t="shared" ref="Q5:Q14" ca="1" si="0">SUM(B5:P5)</f>
        <v>17093.638359581364</v>
      </c>
    </row>
    <row r="6" spans="1:17">
      <c r="A6" s="451" t="s">
        <v>193</v>
      </c>
      <c r="B6" s="452">
        <f>'openbare verlichting'!B8</f>
        <v>813.82</v>
      </c>
      <c r="C6" s="452"/>
      <c r="D6" s="452"/>
      <c r="E6" s="452"/>
      <c r="F6" s="452"/>
      <c r="G6" s="452"/>
      <c r="H6" s="452"/>
      <c r="I6" s="452"/>
      <c r="J6" s="452"/>
      <c r="K6" s="452"/>
      <c r="L6" s="452"/>
      <c r="M6" s="452"/>
      <c r="N6" s="452"/>
      <c r="O6" s="452"/>
      <c r="P6" s="453"/>
      <c r="Q6" s="451">
        <f t="shared" si="0"/>
        <v>813.82</v>
      </c>
    </row>
    <row r="7" spans="1:17">
      <c r="A7" s="451" t="s">
        <v>111</v>
      </c>
      <c r="B7" s="452">
        <f>landbouw!B8</f>
        <v>178.48579999999998</v>
      </c>
      <c r="C7" s="452">
        <f>landbouw!C8</f>
        <v>0</v>
      </c>
      <c r="D7" s="452">
        <f>landbouw!D8</f>
        <v>42.540756616389935</v>
      </c>
      <c r="E7" s="452">
        <f>landbouw!E8</f>
        <v>1.6532102363248216</v>
      </c>
      <c r="F7" s="452">
        <f>landbouw!F8</f>
        <v>452.85247611000688</v>
      </c>
      <c r="G7" s="452">
        <f>landbouw!G8</f>
        <v>0</v>
      </c>
      <c r="H7" s="452">
        <f>landbouw!H8</f>
        <v>0</v>
      </c>
      <c r="I7" s="452">
        <f>landbouw!I8</f>
        <v>0</v>
      </c>
      <c r="J7" s="452">
        <f>landbouw!J8</f>
        <v>27.363865047341569</v>
      </c>
      <c r="K7" s="452">
        <f>landbouw!K8</f>
        <v>0</v>
      </c>
      <c r="L7" s="452">
        <f>landbouw!L8</f>
        <v>0</v>
      </c>
      <c r="M7" s="452">
        <f>landbouw!M8</f>
        <v>0</v>
      </c>
      <c r="N7" s="452">
        <f>landbouw!N8</f>
        <v>0</v>
      </c>
      <c r="O7" s="452">
        <f>landbouw!O8</f>
        <v>0</v>
      </c>
      <c r="P7" s="453">
        <f>landbouw!P8</f>
        <v>0</v>
      </c>
      <c r="Q7" s="451">
        <f t="shared" si="0"/>
        <v>702.89610801006324</v>
      </c>
    </row>
    <row r="8" spans="1:17">
      <c r="A8" s="451" t="s">
        <v>649</v>
      </c>
      <c r="B8" s="452">
        <f>industrie!B18</f>
        <v>1627.52909</v>
      </c>
      <c r="C8" s="452">
        <f>industrie!C18</f>
        <v>0</v>
      </c>
      <c r="D8" s="452">
        <f>industrie!D18</f>
        <v>1132.9099389865896</v>
      </c>
      <c r="E8" s="452">
        <f>industrie!E18</f>
        <v>153.76663114836788</v>
      </c>
      <c r="F8" s="452">
        <f>industrie!F18</f>
        <v>1104.6734963251286</v>
      </c>
      <c r="G8" s="452">
        <f>industrie!G18</f>
        <v>0</v>
      </c>
      <c r="H8" s="452">
        <f>industrie!H18</f>
        <v>0</v>
      </c>
      <c r="I8" s="452">
        <f>industrie!I18</f>
        <v>0</v>
      </c>
      <c r="J8" s="452">
        <f>industrie!J18</f>
        <v>11.175368924687739</v>
      </c>
      <c r="K8" s="452">
        <f>industrie!K18</f>
        <v>0</v>
      </c>
      <c r="L8" s="452">
        <f>industrie!L18</f>
        <v>0</v>
      </c>
      <c r="M8" s="452">
        <f>industrie!M18</f>
        <v>0</v>
      </c>
      <c r="N8" s="452">
        <f>industrie!N18</f>
        <v>244.24374794103738</v>
      </c>
      <c r="O8" s="452">
        <f>industrie!O18</f>
        <v>0</v>
      </c>
      <c r="P8" s="453">
        <f>industrie!P18</f>
        <v>0</v>
      </c>
      <c r="Q8" s="451">
        <f t="shared" si="0"/>
        <v>4274.2982733258114</v>
      </c>
    </row>
    <row r="9" spans="1:17" s="457" customFormat="1">
      <c r="A9" s="455" t="s">
        <v>570</v>
      </c>
      <c r="B9" s="456">
        <f>transport!B14</f>
        <v>24.315112315188639</v>
      </c>
      <c r="C9" s="456">
        <f>transport!C14</f>
        <v>0</v>
      </c>
      <c r="D9" s="456">
        <f>transport!D14</f>
        <v>46.694119112504076</v>
      </c>
      <c r="E9" s="456">
        <f>transport!E14</f>
        <v>528.31181588467928</v>
      </c>
      <c r="F9" s="456">
        <f>transport!F14</f>
        <v>0</v>
      </c>
      <c r="G9" s="456">
        <f>transport!G14</f>
        <v>172890.78259107302</v>
      </c>
      <c r="H9" s="456">
        <f>transport!H14</f>
        <v>29353.603143516375</v>
      </c>
      <c r="I9" s="456">
        <f>transport!I14</f>
        <v>0</v>
      </c>
      <c r="J9" s="456">
        <f>transport!J14</f>
        <v>0</v>
      </c>
      <c r="K9" s="456">
        <f>transport!K14</f>
        <v>0</v>
      </c>
      <c r="L9" s="456">
        <f>transport!L14</f>
        <v>0</v>
      </c>
      <c r="M9" s="456">
        <f>transport!M14</f>
        <v>10919.084030147338</v>
      </c>
      <c r="N9" s="456">
        <f>transport!N14</f>
        <v>0</v>
      </c>
      <c r="O9" s="456">
        <f>transport!O14</f>
        <v>0</v>
      </c>
      <c r="P9" s="456">
        <f>transport!P14</f>
        <v>0</v>
      </c>
      <c r="Q9" s="455">
        <f>SUM(B9:P9)</f>
        <v>213762.79081204912</v>
      </c>
    </row>
    <row r="10" spans="1:17">
      <c r="A10" s="451" t="s">
        <v>560</v>
      </c>
      <c r="B10" s="452">
        <f>transport!B54</f>
        <v>0</v>
      </c>
      <c r="C10" s="452">
        <f>transport!C54</f>
        <v>0</v>
      </c>
      <c r="D10" s="452">
        <f>transport!D54</f>
        <v>0</v>
      </c>
      <c r="E10" s="452">
        <f>transport!E54</f>
        <v>0</v>
      </c>
      <c r="F10" s="452">
        <f>transport!F54</f>
        <v>0</v>
      </c>
      <c r="G10" s="452">
        <f>transport!G54</f>
        <v>1396.2917302472715</v>
      </c>
      <c r="H10" s="452">
        <f>transport!H54</f>
        <v>0</v>
      </c>
      <c r="I10" s="452">
        <f>transport!I54</f>
        <v>0</v>
      </c>
      <c r="J10" s="452">
        <f>transport!J54</f>
        <v>0</v>
      </c>
      <c r="K10" s="452">
        <f>transport!K54</f>
        <v>0</v>
      </c>
      <c r="L10" s="452">
        <f>transport!L54</f>
        <v>0</v>
      </c>
      <c r="M10" s="452">
        <f>transport!M54</f>
        <v>79.807785396778911</v>
      </c>
      <c r="N10" s="452">
        <f>transport!N54</f>
        <v>0</v>
      </c>
      <c r="O10" s="452">
        <f>transport!O54</f>
        <v>0</v>
      </c>
      <c r="P10" s="453">
        <f>transport!P54</f>
        <v>0</v>
      </c>
      <c r="Q10" s="451">
        <f t="shared" si="0"/>
        <v>1476.0995156440504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708.28089999999997</v>
      </c>
      <c r="C14" s="459"/>
      <c r="D14" s="459">
        <f>'SEAP template'!E25</f>
        <v>927.85654433571892</v>
      </c>
      <c r="E14" s="459"/>
      <c r="F14" s="459"/>
      <c r="G14" s="459"/>
      <c r="H14" s="459"/>
      <c r="I14" s="459"/>
      <c r="J14" s="459"/>
      <c r="K14" s="459"/>
      <c r="L14" s="459"/>
      <c r="M14" s="459"/>
      <c r="N14" s="459"/>
      <c r="O14" s="459"/>
      <c r="P14" s="460"/>
      <c r="Q14" s="451">
        <f t="shared" si="0"/>
        <v>1636.137444335719</v>
      </c>
    </row>
    <row r="15" spans="1:17" s="461" customFormat="1">
      <c r="A15" s="1017" t="s">
        <v>564</v>
      </c>
      <c r="B15" s="957">
        <f ca="1">SUM(B4:B14)</f>
        <v>36382.398301786336</v>
      </c>
      <c r="C15" s="957">
        <f t="shared" ref="C15:Q15" ca="1" si="1">SUM(C4:C14)</f>
        <v>57.857142857142861</v>
      </c>
      <c r="D15" s="957">
        <f t="shared" ca="1" si="1"/>
        <v>40750.529098885163</v>
      </c>
      <c r="E15" s="957">
        <f t="shared" si="1"/>
        <v>17323.619762726124</v>
      </c>
      <c r="F15" s="957">
        <f t="shared" ca="1" si="1"/>
        <v>39229.228378517699</v>
      </c>
      <c r="G15" s="957">
        <f t="shared" si="1"/>
        <v>174287.07432132028</v>
      </c>
      <c r="H15" s="957">
        <f t="shared" si="1"/>
        <v>29353.603143516375</v>
      </c>
      <c r="I15" s="957">
        <f t="shared" si="1"/>
        <v>0</v>
      </c>
      <c r="J15" s="957">
        <f t="shared" si="1"/>
        <v>38.539233972029308</v>
      </c>
      <c r="K15" s="957">
        <f t="shared" si="1"/>
        <v>0</v>
      </c>
      <c r="L15" s="957">
        <f t="shared" ca="1" si="1"/>
        <v>0</v>
      </c>
      <c r="M15" s="957">
        <f t="shared" si="1"/>
        <v>10998.891815544117</v>
      </c>
      <c r="N15" s="957">
        <f t="shared" ca="1" si="1"/>
        <v>5383.4413658878393</v>
      </c>
      <c r="O15" s="957">
        <f t="shared" si="1"/>
        <v>146.95333333333335</v>
      </c>
      <c r="P15" s="957">
        <f t="shared" si="1"/>
        <v>877.06666666666672</v>
      </c>
      <c r="Q15" s="957">
        <f t="shared" ca="1" si="1"/>
        <v>354829.20256501314</v>
      </c>
    </row>
    <row r="17" spans="1:17">
      <c r="A17" s="462" t="s">
        <v>565</v>
      </c>
      <c r="B17" s="761">
        <f ca="1">huishoudens!B10</f>
        <v>0.20620240230844877</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5273.1093657854981</v>
      </c>
      <c r="C22" s="452">
        <f t="shared" ref="C22:C32" ca="1" si="3">C4*$C$17</f>
        <v>0</v>
      </c>
      <c r="D22" s="452">
        <f t="shared" ref="D22:D32" si="4">D4*$D$17</f>
        <v>6214.3854485529046</v>
      </c>
      <c r="E22" s="452">
        <f t="shared" ref="E22:E32" si="5">E4*$E$17</f>
        <v>3752.4289247567808</v>
      </c>
      <c r="F22" s="452">
        <f t="shared" ref="F22:F32" si="6">F4*$F$17</f>
        <v>9752.3542798103899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24992.278018905574</v>
      </c>
    </row>
    <row r="23" spans="1:17">
      <c r="A23" s="451" t="s">
        <v>155</v>
      </c>
      <c r="B23" s="452">
        <f t="shared" ca="1" si="2"/>
        <v>1537.749260155199</v>
      </c>
      <c r="C23" s="452">
        <f t="shared" ca="1" si="3"/>
        <v>13.749579831932778</v>
      </c>
      <c r="D23" s="452">
        <f t="shared" ca="1" si="4"/>
        <v>1582.9211548935561</v>
      </c>
      <c r="E23" s="452">
        <f t="shared" si="5"/>
        <v>24.825675181902575</v>
      </c>
      <c r="F23" s="452">
        <f t="shared" ca="1" si="6"/>
        <v>305.99026261365617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3465.2359326762471</v>
      </c>
    </row>
    <row r="24" spans="1:17">
      <c r="A24" s="451" t="s">
        <v>193</v>
      </c>
      <c r="B24" s="452">
        <f t="shared" ca="1" si="2"/>
        <v>167.81163904666178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167.81163904666178</v>
      </c>
    </row>
    <row r="25" spans="1:17">
      <c r="A25" s="451" t="s">
        <v>111</v>
      </c>
      <c r="B25" s="452">
        <f t="shared" ca="1" si="2"/>
        <v>36.804200737945322</v>
      </c>
      <c r="C25" s="452">
        <f t="shared" ca="1" si="3"/>
        <v>0</v>
      </c>
      <c r="D25" s="452">
        <f t="shared" si="4"/>
        <v>8.5932328365107669</v>
      </c>
      <c r="E25" s="452">
        <f t="shared" si="5"/>
        <v>0.3752787236457345</v>
      </c>
      <c r="F25" s="452">
        <f t="shared" si="6"/>
        <v>120.91161112137185</v>
      </c>
      <c r="G25" s="452">
        <f t="shared" si="7"/>
        <v>0</v>
      </c>
      <c r="H25" s="452">
        <f t="shared" si="8"/>
        <v>0</v>
      </c>
      <c r="I25" s="452">
        <f t="shared" si="9"/>
        <v>0</v>
      </c>
      <c r="J25" s="452">
        <f t="shared" si="10"/>
        <v>9.6868082267589148</v>
      </c>
      <c r="K25" s="452">
        <f t="shared" si="11"/>
        <v>0</v>
      </c>
      <c r="L25" s="452">
        <f t="shared" si="12"/>
        <v>0</v>
      </c>
      <c r="M25" s="452">
        <f t="shared" si="13"/>
        <v>0</v>
      </c>
      <c r="N25" s="452">
        <f t="shared" si="14"/>
        <v>0</v>
      </c>
      <c r="O25" s="452">
        <f t="shared" si="15"/>
        <v>0</v>
      </c>
      <c r="P25" s="453">
        <f t="shared" si="16"/>
        <v>0</v>
      </c>
      <c r="Q25" s="451">
        <f t="shared" ca="1" si="17"/>
        <v>176.37113164623261</v>
      </c>
    </row>
    <row r="26" spans="1:17">
      <c r="A26" s="451" t="s">
        <v>649</v>
      </c>
      <c r="B26" s="452">
        <f t="shared" ca="1" si="2"/>
        <v>335.60040818488352</v>
      </c>
      <c r="C26" s="452">
        <f t="shared" ca="1" si="3"/>
        <v>0</v>
      </c>
      <c r="D26" s="452">
        <f t="shared" si="4"/>
        <v>228.84780767529111</v>
      </c>
      <c r="E26" s="452">
        <f t="shared" si="5"/>
        <v>34.905025270679509</v>
      </c>
      <c r="F26" s="452">
        <f t="shared" si="6"/>
        <v>294.94782351880934</v>
      </c>
      <c r="G26" s="452">
        <f t="shared" si="7"/>
        <v>0</v>
      </c>
      <c r="H26" s="452">
        <f t="shared" si="8"/>
        <v>0</v>
      </c>
      <c r="I26" s="452">
        <f t="shared" si="9"/>
        <v>0</v>
      </c>
      <c r="J26" s="452">
        <f t="shared" si="10"/>
        <v>3.9560805993394594</v>
      </c>
      <c r="K26" s="452">
        <f t="shared" si="11"/>
        <v>0</v>
      </c>
      <c r="L26" s="452">
        <f t="shared" si="12"/>
        <v>0</v>
      </c>
      <c r="M26" s="452">
        <f t="shared" si="13"/>
        <v>0</v>
      </c>
      <c r="N26" s="452">
        <f t="shared" si="14"/>
        <v>0</v>
      </c>
      <c r="O26" s="452">
        <f t="shared" si="15"/>
        <v>0</v>
      </c>
      <c r="P26" s="453">
        <f t="shared" si="16"/>
        <v>0</v>
      </c>
      <c r="Q26" s="451">
        <f t="shared" ca="1" si="17"/>
        <v>898.25714524900286</v>
      </c>
    </row>
    <row r="27" spans="1:17" s="457" customFormat="1">
      <c r="A27" s="455" t="s">
        <v>570</v>
      </c>
      <c r="B27" s="755">
        <f t="shared" ca="1" si="2"/>
        <v>5.0138345717916453</v>
      </c>
      <c r="C27" s="456">
        <f t="shared" ca="1" si="3"/>
        <v>0</v>
      </c>
      <c r="D27" s="456">
        <f t="shared" si="4"/>
        <v>9.4322120607258242</v>
      </c>
      <c r="E27" s="456">
        <f t="shared" si="5"/>
        <v>119.92678220582221</v>
      </c>
      <c r="F27" s="456">
        <f t="shared" si="6"/>
        <v>0</v>
      </c>
      <c r="G27" s="456">
        <f t="shared" si="7"/>
        <v>46161.838951816499</v>
      </c>
      <c r="H27" s="456">
        <f t="shared" si="8"/>
        <v>7309.0471827355777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53605.258963390421</v>
      </c>
    </row>
    <row r="28" spans="1:17">
      <c r="A28" s="451" t="s">
        <v>560</v>
      </c>
      <c r="B28" s="452">
        <f t="shared" ca="1" si="2"/>
        <v>0</v>
      </c>
      <c r="C28" s="452">
        <f t="shared" ca="1" si="3"/>
        <v>0</v>
      </c>
      <c r="D28" s="452">
        <f t="shared" si="4"/>
        <v>0</v>
      </c>
      <c r="E28" s="452">
        <f t="shared" si="5"/>
        <v>0</v>
      </c>
      <c r="F28" s="452">
        <f t="shared" si="6"/>
        <v>0</v>
      </c>
      <c r="G28" s="452">
        <f t="shared" si="7"/>
        <v>372.8098919760215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372.8098919760215</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146.04922308919018</v>
      </c>
      <c r="C32" s="452">
        <f t="shared" ca="1" si="3"/>
        <v>0</v>
      </c>
      <c r="D32" s="452">
        <f t="shared" si="4"/>
        <v>187.42702195581523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333.47624504500538</v>
      </c>
    </row>
    <row r="33" spans="1:17" s="461" customFormat="1">
      <c r="A33" s="1017" t="s">
        <v>564</v>
      </c>
      <c r="B33" s="957">
        <f ca="1">SUM(B22:B32)</f>
        <v>7502.1379315711692</v>
      </c>
      <c r="C33" s="957">
        <f t="shared" ref="C33:Q33" ca="1" si="18">SUM(C22:C32)</f>
        <v>13.749579831932778</v>
      </c>
      <c r="D33" s="957">
        <f t="shared" ca="1" si="18"/>
        <v>8231.6068779748039</v>
      </c>
      <c r="E33" s="957">
        <f t="shared" si="18"/>
        <v>3932.4616861388308</v>
      </c>
      <c r="F33" s="957">
        <f t="shared" ca="1" si="18"/>
        <v>10474.203977064226</v>
      </c>
      <c r="G33" s="957">
        <f t="shared" si="18"/>
        <v>46534.648843792522</v>
      </c>
      <c r="H33" s="957">
        <f t="shared" si="18"/>
        <v>7309.0471827355777</v>
      </c>
      <c r="I33" s="957">
        <f t="shared" si="18"/>
        <v>0</v>
      </c>
      <c r="J33" s="957">
        <f t="shared" si="18"/>
        <v>13.642888826098375</v>
      </c>
      <c r="K33" s="957">
        <f t="shared" si="18"/>
        <v>0</v>
      </c>
      <c r="L33" s="957">
        <f t="shared" ca="1" si="18"/>
        <v>0</v>
      </c>
      <c r="M33" s="957">
        <f t="shared" si="18"/>
        <v>0</v>
      </c>
      <c r="N33" s="957">
        <f t="shared" ca="1" si="18"/>
        <v>0</v>
      </c>
      <c r="O33" s="957">
        <f t="shared" si="18"/>
        <v>0</v>
      </c>
      <c r="P33" s="957">
        <f t="shared" si="18"/>
        <v>0</v>
      </c>
      <c r="Q33" s="957">
        <f t="shared" ca="1" si="18"/>
        <v>84011.498967935171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2439.1235249138617</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40.5</v>
      </c>
      <c r="D8" s="1034">
        <f>'SEAP template'!D76</f>
        <v>47.647058823529413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9.6247058823529414</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2439.1235249138617</v>
      </c>
      <c r="C10" s="1038">
        <f>SUM(C4:C9)</f>
        <v>40.5</v>
      </c>
      <c r="D10" s="1038">
        <f t="shared" ref="D10:H10" si="0">SUM(D8:D9)</f>
        <v>47.647058823529413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9.6247058823529414</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0.20620240230844877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57.857142857142861</v>
      </c>
      <c r="D17" s="1035">
        <f>'SEAP template'!D87</f>
        <v>68.067226890756316</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13.749579831932778</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57.857142857142861</v>
      </c>
      <c r="D20" s="1038">
        <f t="shared" ref="D20:H20" si="2">SUM(D17:D19)</f>
        <v>68.067226890756316</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13.749579831932778</v>
      </c>
    </row>
    <row r="22" spans="1:16">
      <c r="A22" s="462" t="s">
        <v>873</v>
      </c>
      <c r="B22" s="761" t="s">
        <v>867</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0.20620240230844877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0.20620240230844877</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0.20620240230844877</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5100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585</v>
      </c>
      <c r="C14" s="330"/>
      <c r="D14" s="330"/>
      <c r="E14" s="330"/>
      <c r="F14" s="330"/>
    </row>
    <row r="15" spans="1:6">
      <c r="A15" s="1305" t="s">
        <v>183</v>
      </c>
      <c r="B15" s="1306">
        <v>1</v>
      </c>
      <c r="C15" s="330"/>
      <c r="D15" s="330"/>
      <c r="E15" s="330"/>
      <c r="F15" s="330"/>
    </row>
    <row r="16" spans="1:6">
      <c r="A16" s="1305" t="s">
        <v>6</v>
      </c>
      <c r="B16" s="1306">
        <v>78</v>
      </c>
      <c r="C16" s="330"/>
      <c r="D16" s="330"/>
      <c r="E16" s="330"/>
      <c r="F16" s="330"/>
    </row>
    <row r="17" spans="1:6">
      <c r="A17" s="1305" t="s">
        <v>7</v>
      </c>
      <c r="B17" s="1306">
        <v>62</v>
      </c>
      <c r="C17" s="330"/>
      <c r="D17" s="330"/>
      <c r="E17" s="330"/>
      <c r="F17" s="330"/>
    </row>
    <row r="18" spans="1:6">
      <c r="A18" s="1305" t="s">
        <v>8</v>
      </c>
      <c r="B18" s="1306">
        <v>97</v>
      </c>
      <c r="C18" s="330"/>
      <c r="D18" s="330"/>
      <c r="E18" s="330"/>
      <c r="F18" s="330"/>
    </row>
    <row r="19" spans="1:6">
      <c r="A19" s="1305" t="s">
        <v>9</v>
      </c>
      <c r="B19" s="1306">
        <v>73</v>
      </c>
      <c r="C19" s="330"/>
      <c r="D19" s="330"/>
      <c r="E19" s="330"/>
      <c r="F19" s="330"/>
    </row>
    <row r="20" spans="1:6">
      <c r="A20" s="1305" t="s">
        <v>10</v>
      </c>
      <c r="B20" s="1306">
        <v>222</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0</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117</v>
      </c>
      <c r="C29" s="336"/>
      <c r="D29" s="336"/>
      <c r="E29" s="336"/>
      <c r="F29" s="336"/>
    </row>
    <row r="30" spans="1:6">
      <c r="A30" s="1300" t="s">
        <v>910</v>
      </c>
      <c r="B30" s="1309">
        <v>18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2179</v>
      </c>
      <c r="D39" s="1306">
        <v>34106745.453189299</v>
      </c>
      <c r="E39" s="1306">
        <v>4999</v>
      </c>
      <c r="F39" s="1306">
        <v>23280147</v>
      </c>
    </row>
    <row r="40" spans="1:6">
      <c r="A40" s="1305" t="s">
        <v>29</v>
      </c>
      <c r="B40" s="1305" t="s">
        <v>28</v>
      </c>
      <c r="C40" s="1306">
        <v>0</v>
      </c>
      <c r="D40" s="1306">
        <v>0</v>
      </c>
      <c r="E40" s="1306">
        <v>0</v>
      </c>
      <c r="F40" s="1306">
        <v>0</v>
      </c>
    </row>
    <row r="41" spans="1:6">
      <c r="A41" s="1305" t="s">
        <v>31</v>
      </c>
      <c r="B41" s="1305" t="s">
        <v>32</v>
      </c>
      <c r="C41" s="1306">
        <v>17</v>
      </c>
      <c r="D41" s="1306">
        <v>304888.81350353197</v>
      </c>
      <c r="E41" s="1306">
        <v>65</v>
      </c>
      <c r="F41" s="1306">
        <v>378946</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4</v>
      </c>
      <c r="F44" s="1306">
        <v>49609.79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15</v>
      </c>
      <c r="D48" s="1306">
        <v>754956.61904454499</v>
      </c>
      <c r="E48" s="1306">
        <v>27</v>
      </c>
      <c r="F48" s="1306">
        <v>887629.8</v>
      </c>
    </row>
    <row r="49" spans="1:6">
      <c r="A49" s="1305" t="s">
        <v>31</v>
      </c>
      <c r="B49" s="1305" t="s">
        <v>39</v>
      </c>
      <c r="C49" s="1306">
        <v>0</v>
      </c>
      <c r="D49" s="1306">
        <v>0</v>
      </c>
      <c r="E49" s="1306">
        <v>0</v>
      </c>
      <c r="F49" s="1306">
        <v>0</v>
      </c>
    </row>
    <row r="50" spans="1:6">
      <c r="A50" s="1305" t="s">
        <v>31</v>
      </c>
      <c r="B50" s="1305" t="s">
        <v>40</v>
      </c>
      <c r="C50" s="1306">
        <v>4</v>
      </c>
      <c r="D50" s="1306">
        <v>196152.282514661</v>
      </c>
      <c r="E50" s="1306">
        <v>8</v>
      </c>
      <c r="F50" s="1306">
        <v>311343.5</v>
      </c>
    </row>
    <row r="51" spans="1:6">
      <c r="A51" s="1305" t="s">
        <v>41</v>
      </c>
      <c r="B51" s="1305" t="s">
        <v>42</v>
      </c>
      <c r="C51" s="1306">
        <v>0</v>
      </c>
      <c r="D51" s="1306">
        <v>0</v>
      </c>
      <c r="E51" s="1306">
        <v>20</v>
      </c>
      <c r="F51" s="1306">
        <v>178485.8</v>
      </c>
    </row>
    <row r="52" spans="1:6">
      <c r="A52" s="1305" t="s">
        <v>41</v>
      </c>
      <c r="B52" s="1305" t="s">
        <v>28</v>
      </c>
      <c r="C52" s="1306">
        <v>2</v>
      </c>
      <c r="D52" s="1306">
        <v>47162.701348547598</v>
      </c>
      <c r="E52" s="1306">
        <v>0</v>
      </c>
      <c r="F52" s="1306">
        <v>0</v>
      </c>
    </row>
    <row r="53" spans="1:6">
      <c r="A53" s="1305" t="s">
        <v>43</v>
      </c>
      <c r="B53" s="1305" t="s">
        <v>44</v>
      </c>
      <c r="C53" s="1306">
        <v>42</v>
      </c>
      <c r="D53" s="1306">
        <v>927856.54433571897</v>
      </c>
      <c r="E53" s="1306">
        <v>129</v>
      </c>
      <c r="F53" s="1306">
        <v>708280.9</v>
      </c>
    </row>
    <row r="54" spans="1:6">
      <c r="A54" s="1305" t="s">
        <v>45</v>
      </c>
      <c r="B54" s="1305" t="s">
        <v>46</v>
      </c>
      <c r="C54" s="1306">
        <v>0</v>
      </c>
      <c r="D54" s="1306">
        <v>0</v>
      </c>
      <c r="E54" s="1306">
        <v>1</v>
      </c>
      <c r="F54" s="1306">
        <v>813820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15</v>
      </c>
      <c r="D57" s="1306">
        <v>1196461.40236722</v>
      </c>
      <c r="E57" s="1306">
        <v>46</v>
      </c>
      <c r="F57" s="1306">
        <v>467694.6</v>
      </c>
    </row>
    <row r="58" spans="1:6">
      <c r="A58" s="1305" t="s">
        <v>48</v>
      </c>
      <c r="B58" s="1305" t="s">
        <v>50</v>
      </c>
      <c r="C58" s="1306">
        <v>6</v>
      </c>
      <c r="D58" s="1306">
        <v>181574.87612004901</v>
      </c>
      <c r="E58" s="1306">
        <v>29</v>
      </c>
      <c r="F58" s="1306">
        <v>319925.40000000002</v>
      </c>
    </row>
    <row r="59" spans="1:6">
      <c r="A59" s="1305" t="s">
        <v>48</v>
      </c>
      <c r="B59" s="1305" t="s">
        <v>51</v>
      </c>
      <c r="C59" s="1306">
        <v>28</v>
      </c>
      <c r="D59" s="1306">
        <v>1070041.57325165</v>
      </c>
      <c r="E59" s="1306">
        <v>97</v>
      </c>
      <c r="F59" s="1306">
        <v>1951749</v>
      </c>
    </row>
    <row r="60" spans="1:6">
      <c r="A60" s="1305" t="s">
        <v>48</v>
      </c>
      <c r="B60" s="1305" t="s">
        <v>52</v>
      </c>
      <c r="C60" s="1306">
        <v>29</v>
      </c>
      <c r="D60" s="1306">
        <v>1655219.66137111</v>
      </c>
      <c r="E60" s="1306">
        <v>58</v>
      </c>
      <c r="F60" s="1306">
        <v>1689916</v>
      </c>
    </row>
    <row r="61" spans="1:6">
      <c r="A61" s="1305" t="s">
        <v>48</v>
      </c>
      <c r="B61" s="1305" t="s">
        <v>53</v>
      </c>
      <c r="C61" s="1306">
        <v>40</v>
      </c>
      <c r="D61" s="1306">
        <v>1352930.2754152201</v>
      </c>
      <c r="E61" s="1306">
        <v>136</v>
      </c>
      <c r="F61" s="1306">
        <v>1771819</v>
      </c>
    </row>
    <row r="62" spans="1:6">
      <c r="A62" s="1305" t="s">
        <v>48</v>
      </c>
      <c r="B62" s="1305" t="s">
        <v>54</v>
      </c>
      <c r="C62" s="1306">
        <v>0</v>
      </c>
      <c r="D62" s="1306">
        <v>0</v>
      </c>
      <c r="E62" s="1306">
        <v>4</v>
      </c>
      <c r="F62" s="1306">
        <v>62365</v>
      </c>
    </row>
    <row r="63" spans="1:6">
      <c r="A63" s="1305" t="s">
        <v>48</v>
      </c>
      <c r="B63" s="1305" t="s">
        <v>28</v>
      </c>
      <c r="C63" s="1306">
        <v>76</v>
      </c>
      <c r="D63" s="1306">
        <v>3359689.7577846101</v>
      </c>
      <c r="E63" s="1306">
        <v>98</v>
      </c>
      <c r="F63" s="1306">
        <v>1153506</v>
      </c>
    </row>
    <row r="64" spans="1:6">
      <c r="A64" s="1305" t="s">
        <v>55</v>
      </c>
      <c r="B64" s="1305" t="s">
        <v>56</v>
      </c>
      <c r="C64" s="1306">
        <v>0</v>
      </c>
      <c r="D64" s="1306">
        <v>0</v>
      </c>
      <c r="E64" s="1306">
        <v>0</v>
      </c>
      <c r="F64" s="1306">
        <v>0</v>
      </c>
    </row>
    <row r="65" spans="1:6">
      <c r="A65" s="1305" t="s">
        <v>55</v>
      </c>
      <c r="B65" s="1305" t="s">
        <v>28</v>
      </c>
      <c r="C65" s="1306">
        <v>4</v>
      </c>
      <c r="D65" s="1306">
        <v>91153.6106919296</v>
      </c>
      <c r="E65" s="1306">
        <v>2</v>
      </c>
      <c r="F65" s="1306">
        <v>9329.9159999999993</v>
      </c>
    </row>
    <row r="66" spans="1:6">
      <c r="A66" s="1305" t="s">
        <v>55</v>
      </c>
      <c r="B66" s="1305" t="s">
        <v>57</v>
      </c>
      <c r="C66" s="1306">
        <v>0</v>
      </c>
      <c r="D66" s="1306">
        <v>0</v>
      </c>
      <c r="E66" s="1306">
        <v>7</v>
      </c>
      <c r="F66" s="1306">
        <v>107238.1</v>
      </c>
    </row>
    <row r="67" spans="1:6">
      <c r="A67" s="1307" t="s">
        <v>55</v>
      </c>
      <c r="B67" s="1307" t="s">
        <v>58</v>
      </c>
      <c r="C67" s="1306">
        <v>0</v>
      </c>
      <c r="D67" s="1306">
        <v>0</v>
      </c>
      <c r="E67" s="1306">
        <v>0</v>
      </c>
      <c r="F67" s="1306">
        <v>0</v>
      </c>
    </row>
    <row r="68" spans="1:6">
      <c r="A68" s="1300" t="s">
        <v>55</v>
      </c>
      <c r="B68" s="1300" t="s">
        <v>59</v>
      </c>
      <c r="C68" s="1309">
        <v>0</v>
      </c>
      <c r="D68" s="1309">
        <v>0</v>
      </c>
      <c r="E68" s="1309">
        <v>11</v>
      </c>
      <c r="F68" s="1309">
        <v>164697.9</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18500505</v>
      </c>
      <c r="E73" s="450"/>
      <c r="F73" s="330"/>
    </row>
    <row r="74" spans="1:6">
      <c r="A74" s="1305" t="s">
        <v>63</v>
      </c>
      <c r="B74" s="1305" t="s">
        <v>710</v>
      </c>
      <c r="C74" s="1319" t="s">
        <v>712</v>
      </c>
      <c r="D74" s="1320">
        <v>1155960.4386026652</v>
      </c>
      <c r="E74" s="450"/>
      <c r="F74" s="330"/>
    </row>
    <row r="75" spans="1:6">
      <c r="A75" s="1305" t="s">
        <v>64</v>
      </c>
      <c r="B75" s="1305" t="s">
        <v>709</v>
      </c>
      <c r="C75" s="1319" t="s">
        <v>713</v>
      </c>
      <c r="D75" s="1320">
        <v>27343725</v>
      </c>
      <c r="E75" s="450"/>
      <c r="F75" s="330"/>
    </row>
    <row r="76" spans="1:6">
      <c r="A76" s="1305" t="s">
        <v>64</v>
      </c>
      <c r="B76" s="1305" t="s">
        <v>710</v>
      </c>
      <c r="C76" s="1319" t="s">
        <v>714</v>
      </c>
      <c r="D76" s="1320">
        <v>1347885.4386026652</v>
      </c>
      <c r="E76" s="450"/>
      <c r="F76" s="330"/>
    </row>
    <row r="77" spans="1:6">
      <c r="A77" s="1305" t="s">
        <v>65</v>
      </c>
      <c r="B77" s="1305" t="s">
        <v>709</v>
      </c>
      <c r="C77" s="1319" t="s">
        <v>715</v>
      </c>
      <c r="D77" s="1320">
        <v>169063984</v>
      </c>
      <c r="E77" s="450"/>
      <c r="F77" s="330"/>
    </row>
    <row r="78" spans="1:6">
      <c r="A78" s="1300" t="s">
        <v>65</v>
      </c>
      <c r="B78" s="1300" t="s">
        <v>710</v>
      </c>
      <c r="C78" s="1300" t="s">
        <v>716</v>
      </c>
      <c r="D78" s="1321">
        <v>20982162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396333.12279466953</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2292.3453994711467</v>
      </c>
      <c r="C91" s="330"/>
      <c r="D91" s="330"/>
      <c r="E91" s="330"/>
      <c r="F91" s="330"/>
    </row>
    <row r="92" spans="1:6">
      <c r="A92" s="1300" t="s">
        <v>68</v>
      </c>
      <c r="B92" s="1301">
        <v>146.77812544271509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664</v>
      </c>
      <c r="C97" s="330"/>
      <c r="D97" s="330"/>
      <c r="E97" s="330"/>
      <c r="F97" s="330"/>
    </row>
    <row r="98" spans="1:6">
      <c r="A98" s="1305" t="s">
        <v>71</v>
      </c>
      <c r="B98" s="1306">
        <v>1</v>
      </c>
      <c r="C98" s="330"/>
      <c r="D98" s="330"/>
      <c r="E98" s="330"/>
      <c r="F98" s="330"/>
    </row>
    <row r="99" spans="1:6">
      <c r="A99" s="1305" t="s">
        <v>72</v>
      </c>
      <c r="B99" s="1306">
        <v>102</v>
      </c>
      <c r="C99" s="330"/>
      <c r="D99" s="330"/>
      <c r="E99" s="330"/>
      <c r="F99" s="330"/>
    </row>
    <row r="100" spans="1:6">
      <c r="A100" s="1305" t="s">
        <v>73</v>
      </c>
      <c r="B100" s="1306">
        <v>471</v>
      </c>
      <c r="C100" s="330"/>
      <c r="D100" s="330"/>
      <c r="E100" s="330"/>
      <c r="F100" s="330"/>
    </row>
    <row r="101" spans="1:6">
      <c r="A101" s="1305" t="s">
        <v>74</v>
      </c>
      <c r="B101" s="1306">
        <v>40</v>
      </c>
      <c r="C101" s="330"/>
      <c r="D101" s="330"/>
      <c r="E101" s="330"/>
      <c r="F101" s="330"/>
    </row>
    <row r="102" spans="1:6">
      <c r="A102" s="1305" t="s">
        <v>75</v>
      </c>
      <c r="B102" s="1306">
        <v>52</v>
      </c>
      <c r="C102" s="330"/>
      <c r="D102" s="330"/>
      <c r="E102" s="330"/>
      <c r="F102" s="330"/>
    </row>
    <row r="103" spans="1:6">
      <c r="A103" s="1305" t="s">
        <v>76</v>
      </c>
      <c r="B103" s="1306">
        <v>128</v>
      </c>
      <c r="C103" s="330"/>
      <c r="D103" s="330"/>
      <c r="E103" s="330"/>
      <c r="F103" s="330"/>
    </row>
    <row r="104" spans="1:6">
      <c r="A104" s="1305" t="s">
        <v>77</v>
      </c>
      <c r="B104" s="1306">
        <v>2995</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22</v>
      </c>
      <c r="C123" s="1306">
        <v>10</v>
      </c>
      <c r="D123" s="330"/>
      <c r="E123" s="330"/>
      <c r="F123" s="330"/>
    </row>
    <row r="124" spans="1:6" s="43" customFormat="1">
      <c r="A124" s="1307" t="s">
        <v>88</v>
      </c>
      <c r="B124" s="1328">
        <v>2</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81</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21</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36382.398301786343</v>
      </c>
      <c r="C3" s="43" t="s">
        <v>169</v>
      </c>
      <c r="D3" s="43"/>
      <c r="E3" s="154"/>
      <c r="F3" s="43"/>
      <c r="G3" s="43"/>
      <c r="H3" s="43"/>
      <c r="I3" s="43"/>
      <c r="J3" s="43"/>
      <c r="K3" s="96"/>
    </row>
    <row r="4" spans="1:11">
      <c r="A4" s="359" t="s">
        <v>170</v>
      </c>
      <c r="B4" s="49">
        <f>IF(ISERROR('SEAP template'!B78+'SEAP template'!C78),0,'SEAP template'!B78+'SEAP template'!C78)</f>
        <v>2479.6235249138617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9.6247058823529414</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0.20620240230844877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13.749579831932778</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57.857142857142861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813.82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0.20620240230844877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167.81163904666178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B46*B57</f>
        <v>16530.523897606963</v>
      </c>
      <c r="F5" s="17">
        <f>B51*B62</f>
        <v>36525.671459964004</v>
      </c>
      <c r="G5" s="18"/>
      <c r="H5" s="17"/>
      <c r="I5" s="17"/>
      <c r="J5" s="17">
        <f>B50*B61+C50*C61</f>
        <v>0</v>
      </c>
      <c r="K5" s="17"/>
      <c r="L5" s="17"/>
      <c r="M5" s="17"/>
      <c r="N5" s="17">
        <f>B48*B59+C48*C59</f>
        <v>4674.7232295814747</v>
      </c>
      <c r="O5" s="17">
        <f>B69*B70*B71</f>
        <v>143.82666666666668</v>
      </c>
      <c r="P5" s="17">
        <f>B77*B78*B79/1000-B77*B78*B79/1000/B80</f>
        <v>858</v>
      </c>
    </row>
    <row r="6" spans="1:16">
      <c r="A6" s="16" t="s">
        <v>630</v>
      </c>
      <c r="B6" s="763">
        <f>kWh_PV_kleiner_dan_10kW</f>
        <v>2292.3453994711467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25572.492399471146</v>
      </c>
      <c r="C8" s="21">
        <f>C5</f>
        <v>0</v>
      </c>
      <c r="D8" s="21">
        <f>D5</f>
        <v>30764.284398776752</v>
      </c>
      <c r="E8" s="21">
        <f>E5</f>
        <v>16530.523897606963</v>
      </c>
      <c r="F8" s="21">
        <f>F5</f>
        <v>36525.671459964004</v>
      </c>
      <c r="G8" s="21"/>
      <c r="H8" s="21"/>
      <c r="I8" s="21"/>
      <c r="J8" s="21">
        <f>J5</f>
        <v>0</v>
      </c>
      <c r="K8" s="21"/>
      <c r="L8" s="21">
        <f>L5</f>
        <v>0</v>
      </c>
      <c r="M8" s="21">
        <f>M5</f>
        <v>0</v>
      </c>
      <c r="N8" s="21">
        <f>N5</f>
        <v>4674.7232295814747</v>
      </c>
      <c r="O8" s="21">
        <f>O5</f>
        <v>143.82666666666668</v>
      </c>
      <c r="P8" s="21">
        <f>P5</f>
        <v>858</v>
      </c>
    </row>
    <row r="9" spans="1:16">
      <c r="B9" s="19"/>
      <c r="C9" s="19"/>
      <c r="D9" s="258"/>
      <c r="E9" s="19"/>
      <c r="F9" s="19"/>
      <c r="G9" s="19"/>
      <c r="H9" s="19"/>
      <c r="I9" s="19"/>
      <c r="J9" s="19"/>
      <c r="K9" s="19"/>
      <c r="L9" s="19"/>
      <c r="M9" s="19"/>
      <c r="N9" s="19"/>
      <c r="O9" s="19"/>
      <c r="P9" s="19"/>
    </row>
    <row r="10" spans="1:16">
      <c r="A10" s="24" t="s">
        <v>213</v>
      </c>
      <c r="B10" s="25">
        <f ca="1">'EF ele_warmte'!B12</f>
        <v>0.20620240230844877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5273.1093657854981</v>
      </c>
      <c r="C12" s="23">
        <f ca="1">C10*C8</f>
        <v>0</v>
      </c>
      <c r="D12" s="23">
        <f>D8*D10</f>
        <v>6214.3854485529046</v>
      </c>
      <c r="E12" s="23">
        <f>E10*E8</f>
        <v>3752.4289247567808</v>
      </c>
      <c r="F12" s="23">
        <f>F10*F8</f>
        <v>9752.3542798103899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664</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16.639477977161501</v>
      </c>
      <c r="D20" s="229"/>
      <c r="E20" s="15"/>
    </row>
    <row r="21" spans="1:7">
      <c r="A21" s="171" t="s">
        <v>73</v>
      </c>
      <c r="B21" s="37">
        <f>aantalw2001_elektriciteit</f>
        <v>471</v>
      </c>
      <c r="C21" s="167">
        <f>IF(ISERROR(B21/SUM($B$20,$B$21,$B$22)*100),0,B21/SUM($B$20,$B$21,$B$22)*100)</f>
        <v>76.83523654159869</v>
      </c>
      <c r="D21" s="229"/>
      <c r="E21" s="15"/>
    </row>
    <row r="22" spans="1:7">
      <c r="A22" s="171" t="s">
        <v>74</v>
      </c>
      <c r="B22" s="37">
        <f>aantalw2001_hout</f>
        <v>40</v>
      </c>
      <c r="C22" s="167">
        <f>IF(ISERROR(B22/SUM($B$20,$B$21,$B$22)*100),0,B22/SUM($B$20,$B$21,$B$22)*100)</f>
        <v>6.5252854812398038</v>
      </c>
      <c r="D22" s="229"/>
      <c r="E22" s="15"/>
    </row>
    <row r="23" spans="1:7">
      <c r="A23" s="171" t="s">
        <v>75</v>
      </c>
      <c r="B23" s="37">
        <f>aantalw2001_niet_gespec</f>
        <v>52</v>
      </c>
      <c r="C23" s="166" t="s">
        <v>110</v>
      </c>
      <c r="D23" s="228"/>
      <c r="E23" s="15"/>
    </row>
    <row r="24" spans="1:7">
      <c r="A24" s="171" t="s">
        <v>76</v>
      </c>
      <c r="B24" s="37">
        <f>aantalw2001_steenkool</f>
        <v>128</v>
      </c>
      <c r="C24" s="166" t="s">
        <v>110</v>
      </c>
      <c r="D24" s="229"/>
      <c r="E24" s="15"/>
    </row>
    <row r="25" spans="1:7">
      <c r="A25" s="171" t="s">
        <v>77</v>
      </c>
      <c r="B25" s="37">
        <f>aantalw2001_stookolie</f>
        <v>2995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5100</v>
      </c>
      <c r="C28" s="36"/>
      <c r="D28" s="228"/>
    </row>
    <row r="29" spans="1:7" s="15" customFormat="1">
      <c r="A29" s="230" t="s">
        <v>737</v>
      </c>
      <c r="B29" s="37">
        <f>SUM(HH_hh_gas_aantal,HH_rest_gas_aantal)</f>
        <v>2179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2179</v>
      </c>
      <c r="C32" s="167">
        <f>IF(ISERROR(B32/SUM($B$32,$B$34,$B$35,$B$36,$B$38,$B$39)*100),0,B32/SUM($B$32,$B$34,$B$35,$B$36,$B$38,$B$39)*100)</f>
        <v>43.105835806132539</v>
      </c>
      <c r="D32" s="233"/>
      <c r="G32" s="15"/>
    </row>
    <row r="33" spans="1:7">
      <c r="A33" s="171" t="s">
        <v>71</v>
      </c>
      <c r="B33" s="34" t="s">
        <v>110</v>
      </c>
      <c r="C33" s="167"/>
      <c r="D33" s="233"/>
      <c r="G33" s="15"/>
    </row>
    <row r="34" spans="1:7">
      <c r="A34" s="171" t="s">
        <v>72</v>
      </c>
      <c r="B34" s="33">
        <f>IF((($B$28-$B$32-$B$39-$B$77-$B$38)*C20/100)&lt;0,0,($B$28-$B$32-$B$39-$B$77-$B$38)*C20/100)</f>
        <v>207.07830342577489</v>
      </c>
      <c r="C34" s="167">
        <f>IF(ISERROR(B34/SUM($B$32,$B$34,$B$35,$B$36,$B$38,$B$39)*100),0,B34/SUM($B$32,$B$34,$B$35,$B$36,$B$38,$B$39)*100)</f>
        <v>4.0965045188086036</v>
      </c>
      <c r="D34" s="233"/>
      <c r="G34" s="15"/>
    </row>
    <row r="35" spans="1:7">
      <c r="A35" s="171" t="s">
        <v>73</v>
      </c>
      <c r="B35" s="33">
        <f>IF((($B$28-$B$32-$B$39-$B$77-$B$38)*C21/100)&lt;0,0,($B$28-$B$32-$B$39-$B$77-$B$38)*C21/100)</f>
        <v>956.21451876019569</v>
      </c>
      <c r="C35" s="167">
        <f>IF(ISERROR(B35/SUM($B$32,$B$34,$B$35,$B$36,$B$38,$B$39)*100),0,B35/SUM($B$32,$B$34,$B$35,$B$36,$B$38,$B$39)*100)</f>
        <v>18.916212042733839</v>
      </c>
      <c r="D35" s="233"/>
      <c r="G35" s="15"/>
    </row>
    <row r="36" spans="1:7">
      <c r="A36" s="171" t="s">
        <v>74</v>
      </c>
      <c r="B36" s="33">
        <f>IF((($B$28-$B$32-$B$39-$B$77-$B$38)*C22/100)&lt;0,0,($B$28-$B$32-$B$39-$B$77-$B$38)*C22/100)</f>
        <v>81.20717781402935</v>
      </c>
      <c r="C36" s="167">
        <f>IF(ISERROR(B36/SUM($B$32,$B$34,$B$35,$B$36,$B$38,$B$39)*100),0,B36/SUM($B$32,$B$34,$B$35,$B$36,$B$38,$B$39)*100)</f>
        <v>1.6064723603170989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1631.5</v>
      </c>
      <c r="C39" s="167">
        <f>IF(ISERROR(B39/SUM($B$32,$B$34,$B$35,$B$36,$B$38,$B$39)*100),0,B39/SUM($B$32,$B$34,$B$35,$B$36,$B$38,$B$39)*100)</f>
        <v>32.274975272007907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2179</v>
      </c>
      <c r="C44" s="34" t="s">
        <v>110</v>
      </c>
      <c r="D44" s="174"/>
    </row>
    <row r="45" spans="1:7">
      <c r="A45" s="171" t="s">
        <v>71</v>
      </c>
      <c r="B45" s="33" t="str">
        <f t="shared" si="0"/>
        <v>-</v>
      </c>
      <c r="C45" s="34" t="s">
        <v>110</v>
      </c>
      <c r="D45" s="174"/>
    </row>
    <row r="46" spans="1:7">
      <c r="A46" s="171" t="s">
        <v>72</v>
      </c>
      <c r="B46" s="33">
        <f t="shared" si="0"/>
        <v>207.07830342577489</v>
      </c>
      <c r="C46" s="34" t="s">
        <v>110</v>
      </c>
      <c r="D46" s="174"/>
    </row>
    <row r="47" spans="1:7">
      <c r="A47" s="171" t="s">
        <v>73</v>
      </c>
      <c r="B47" s="33">
        <f t="shared" si="0"/>
        <v>956.21451876019569</v>
      </c>
      <c r="C47" s="34" t="s">
        <v>110</v>
      </c>
      <c r="D47" s="174"/>
    </row>
    <row r="48" spans="1:7">
      <c r="A48" s="171" t="s">
        <v>74</v>
      </c>
      <c r="B48" s="33">
        <f t="shared" si="0"/>
        <v>81.20717781402935</v>
      </c>
      <c r="C48" s="33">
        <f>B48*10</f>
        <v>812.07177814029353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1631.5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92</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45</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53</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52</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51</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50</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49</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54</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259</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493</v>
      </c>
      <c r="B13" s="247">
        <f ca="1">'lokale energieproductie'!N38+'lokale energieproductie'!N31</f>
        <v>40.5</v>
      </c>
      <c r="C13" s="247">
        <f ca="1">'lokale energieproductie'!O38+'lokale energieproductie'!O31</f>
        <v>57.857142857142861</v>
      </c>
      <c r="D13" s="308">
        <f ca="1">('lokale energieproductie'!P31+'lokale energieproductie'!P38)*(-1)</f>
        <v>-115.71428571428572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0.20620240230844877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1537.749260155199</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1771.819</v>
      </c>
      <c r="C26" s="39">
        <f>IF(ISERROR(B26*3.6/1000000/'E Balans VL '!Z12*100),0,B26*3.6/1000000/'E Balans VL '!Z12*100)</f>
        <v>3.8920052762887923E-2</v>
      </c>
      <c r="D26" s="237" t="s">
        <v>691</v>
      </c>
      <c r="F26" s="6"/>
    </row>
    <row r="27" spans="1:18">
      <c r="A27" s="231" t="s">
        <v>52</v>
      </c>
      <c r="B27" s="33">
        <f>IF(ISERROR(TER_horeca_ele_kWh/1000),0,TER_horeca_ele_kWh/1000)</f>
        <v>1689.9159999999999</v>
      </c>
      <c r="C27" s="39">
        <f>IF(ISERROR(B27*3.6/1000000/'E Balans VL '!Z9*100),0,B27*3.6/1000000/'E Balans VL '!Z9*100)</f>
        <v>0.13580159588164895</v>
      </c>
      <c r="D27" s="237" t="s">
        <v>691</v>
      </c>
      <c r="F27" s="6"/>
    </row>
    <row r="28" spans="1:18">
      <c r="A28" s="171" t="s">
        <v>51</v>
      </c>
      <c r="B28" s="33">
        <f>IF(ISERROR(TER_handel_ele_kWh/1000),0,TER_handel_ele_kWh/1000)</f>
        <v>1951.749</v>
      </c>
      <c r="C28" s="39">
        <f>IF(ISERROR(B28*3.6/1000000/'E Balans VL '!Z13*100),0,B28*3.6/1000000/'E Balans VL '!Z13*100)</f>
        <v>5.7711854409519342E-2</v>
      </c>
      <c r="D28" s="237" t="s">
        <v>691</v>
      </c>
      <c r="F28" s="6"/>
    </row>
    <row r="29" spans="1:18">
      <c r="A29" s="231" t="s">
        <v>50</v>
      </c>
      <c r="B29" s="33">
        <f>IF(ISERROR(TER_gezond_ele_kWh/1000),0,TER_gezond_ele_kWh/1000)</f>
        <v>319.92540000000002</v>
      </c>
      <c r="C29" s="39">
        <f>IF(ISERROR(B29*3.6/1000000/'E Balans VL '!Z10*100),0,B29*3.6/1000000/'E Balans VL '!Z10*100)</f>
        <v>3.6047332834270425E-2</v>
      </c>
      <c r="D29" s="237" t="s">
        <v>691</v>
      </c>
      <c r="F29" s="6"/>
    </row>
    <row r="30" spans="1:18">
      <c r="A30" s="231" t="s">
        <v>49</v>
      </c>
      <c r="B30" s="33">
        <f>IF(ISERROR(TER_ander_ele_kWh/1000),0,TER_ander_ele_kWh/1000)</f>
        <v>467.69459999999998</v>
      </c>
      <c r="C30" s="39">
        <f>IF(ISERROR(B30*3.6/1000000/'E Balans VL '!Z14*100),0,B30*3.6/1000000/'E Balans VL '!Z14*100)</f>
        <v>3.5370943110194217E-2</v>
      </c>
      <c r="D30" s="237" t="s">
        <v>691</v>
      </c>
      <c r="F30" s="6"/>
    </row>
    <row r="31" spans="1:18">
      <c r="A31" s="231" t="s">
        <v>54</v>
      </c>
      <c r="B31" s="33">
        <f>IF(ISERROR(TER_onderwijs_ele_kWh/1000),0,TER_onderwijs_ele_kWh/1000)</f>
        <v>62.365000000000002</v>
      </c>
      <c r="C31" s="39">
        <f>IF(ISERROR(B31*3.6/1000000/'E Balans VL '!Z11*100),0,B31*3.6/1000000/'E Balans VL '!Z11*100)</f>
        <v>1.294552625867715E-2</v>
      </c>
      <c r="D31" s="237" t="s">
        <v>691</v>
      </c>
    </row>
    <row r="32" spans="1:18">
      <c r="A32" s="231" t="s">
        <v>259</v>
      </c>
      <c r="B32" s="33">
        <f>IF(ISERROR(TER_rest_ele_kWh/1000),0,TER_rest_ele_kWh/1000)</f>
        <v>1153.5060000000001</v>
      </c>
      <c r="C32" s="39">
        <f>IF(ISERROR(B32*3.6/1000000/'E Balans VL '!Z8*100),0,B32*3.6/1000000/'E Balans VL '!Z8*100)</f>
        <v>9.7176094654002274E-3</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244.24374794103738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32</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30.528128554895904</v>
      </c>
      <c r="O9" s="33"/>
      <c r="P9" s="33"/>
      <c r="R9" s="32"/>
    </row>
    <row r="10" spans="1:18">
      <c r="A10" s="6" t="s">
        <v>40</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48.355405839081619</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244.24374794103738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0.20620240230844877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335.60040818488352</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49.609790000000004</v>
      </c>
      <c r="C30" s="39">
        <f>IF(ISERROR(B30*3.6/1000000/'E Balans VL '!Z18*100),0,B30*3.6/1000000/'E Balans VL '!Z18*100)</f>
        <v>6.9437173354841321E-3</v>
      </c>
      <c r="D30" s="237" t="s">
        <v>691</v>
      </c>
    </row>
    <row r="31" spans="1:18">
      <c r="A31" s="6" t="s">
        <v>32</v>
      </c>
      <c r="B31" s="37">
        <f>IF( ISERROR(IND_ander_ele_kWh/1000),0,IND_ander_ele_kWh/1000)</f>
        <v>378.94600000000003</v>
      </c>
      <c r="C31" s="39">
        <f>IF(ISERROR(B31*3.6/1000000/'E Balans VL '!Z19*100),0,B31*3.6/1000000/'E Balans VL '!Z19*100)</f>
        <v>1.6586404946224955E-2</v>
      </c>
      <c r="D31" s="237" t="s">
        <v>691</v>
      </c>
    </row>
    <row r="32" spans="1:18">
      <c r="A32" s="171" t="s">
        <v>40</v>
      </c>
      <c r="B32" s="37">
        <f>IF( ISERROR(IND_voed_ele_kWh/1000),0,IND_voed_ele_kWh/1000)</f>
        <v>311.34350000000001</v>
      </c>
      <c r="C32" s="39">
        <f>IF(ISERROR(B32*3.6/1000000/'E Balans VL '!Z20*100),0,B32*3.6/1000000/'E Balans VL '!Z20*100)</f>
        <v>7.7078311392351384E-2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887.62980000000005</v>
      </c>
      <c r="C37" s="39">
        <f>IF(ISERROR(B37*3.6/1000000/'E Balans VL '!Z15*100),0,B37*3.6/1000000/'E Balans VL '!Z15*100)</f>
        <v>6.5816229983474668E-3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178.48579999999998</v>
      </c>
      <c r="C5" s="17">
        <f>'Eigen informatie GS &amp; warmtenet'!B60</f>
        <v>0</v>
      </c>
      <c r="D5" s="30">
        <f>IF(ISERROR(SUM(LB_lb_gas_kWh,LB_rest_gas_kWh)/1000),0,SUM(LB_lb_gas_kWh,LB_rest_gas_kWh)/1000)*0.902</f>
        <v>42.540756616389935</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178.48579999999998</v>
      </c>
      <c r="C8" s="21">
        <f>C5+C6</f>
        <v>0</v>
      </c>
      <c r="D8" s="21">
        <f>MAX((D5+D6),0)</f>
        <v>42.540756616389935</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0.20620240230844877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36.804200737945322</v>
      </c>
      <c r="C12" s="23">
        <f ca="1">C8*C10</f>
        <v>0</v>
      </c>
      <c r="D12" s="23">
        <f>D8*D10</f>
        <v>8.5932328365107669</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2.537689620688351E-2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36.365285285117949</v>
      </c>
      <c r="C26" s="247">
        <f>B26*'GWP N2O_CH4'!B5</f>
        <v>763.6709909874769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4.8989123390130036</v>
      </c>
      <c r="C27" s="247">
        <f>B27*'GWP N2O_CH4'!B5</f>
        <v>102.87715911927307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7">
        <f>B28*'GWP N2O_CH4'!B4</f>
        <v>153.84441314827401</v>
      </c>
      <c r="D28" s="50"/>
    </row>
    <row r="29" spans="1:4">
      <c r="A29" s="41" t="s">
        <v>276</v>
      </c>
      <c r="B29" s="247">
        <f>B34*'ha_N2O bodem landbouw'!B4</f>
        <v>3.8725754813397861</v>
      </c>
      <c r="C29" s="247">
        <f>B29*'GWP N2O_CH4'!B4</f>
        <v>1200.4983992153336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8.6855045610034212E-4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8.7534404334679093E-5</v>
      </c>
      <c r="C5" s="438" t="s">
        <v>210</v>
      </c>
      <c r="D5" s="423">
        <f>SUM(D6:D11)</f>
        <v>1.6809882880501468E-4</v>
      </c>
      <c r="E5" s="423">
        <f>SUM(E6:E11)</f>
        <v>1.9019225371848453E-3</v>
      </c>
      <c r="F5" s="436" t="s">
        <v>210</v>
      </c>
      <c r="G5" s="423">
        <f>SUM(G6:G11)</f>
        <v>0.62240681732786285</v>
      </c>
      <c r="H5" s="423">
        <f>SUM(H6:H11)</f>
        <v>0.10567297131665894</v>
      </c>
      <c r="I5" s="438" t="s">
        <v>210</v>
      </c>
      <c r="J5" s="438" t="s">
        <v>210</v>
      </c>
      <c r="K5" s="438" t="s">
        <v>210</v>
      </c>
      <c r="L5" s="438" t="s">
        <v>210</v>
      </c>
      <c r="M5" s="423">
        <f>SUM(M6:M11)</f>
        <v>3.9308702508530413E-2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7.5354527168782488E-6</v>
      </c>
      <c r="C6" s="424"/>
      <c r="D6" s="866">
        <f>vkm_GW_PW*SUMIFS(TableVerdeelsleutelVkm[CNG],TableVerdeelsleutelVkm[Voertuigtype],"Lichte voertuigen")*SUMIFS(TableECFTransport[EnergieConsumptieFactor (PJ per km)],TableECFTransport[Index],CONCATENATE($A6,"_CNG_CNG"))</f>
        <v>1.314924809606672E-5</v>
      </c>
      <c r="E6" s="866">
        <f>vkm_GW_PW*SUMIFS(TableVerdeelsleutelVkm[LPG],TableVerdeelsleutelVkm[Voertuigtype],"Lichte voertuigen")*SUMIFS(TableECFTransport[EnergieConsumptieFactor (PJ per km)],TableECFTransport[Index],CONCATENATE($A6,"_LPG_LPG"))</f>
        <v>1.2735693161564874E-4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2.9931070351869694E-2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8.052523758972566E-3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1.9809432958839499E-3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1.0819603490022811E-2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2.0982650293201604E-7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6.2729614984112329E-4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1.1137390403171249E-5</v>
      </c>
      <c r="C8" s="424"/>
      <c r="D8" s="426">
        <f>vkm_NGW_PW*SUMIFS(TableVerdeelsleutelVkm[CNG],TableVerdeelsleutelVkm[Voertuigtype],"Lichte voertuigen")*SUMIFS(TableECFTransport[EnergieConsumptieFactor (PJ per km)],TableECFTransport[Index],CONCATENATE($A8,"_CNG_CNG"))</f>
        <v>3.3279096999384834E-5</v>
      </c>
      <c r="E8" s="426">
        <f>vkm_NGW_PW*SUMIFS(TableVerdeelsleutelVkm[LPG],TableVerdeelsleutelVkm[Voertuigtype],"Lichte voertuigen")*SUMIFS(TableECFTransport[EnergieConsumptieFactor (PJ per km)],TableECFTransport[Index],CONCATENATE($A8,"_LPG_LPG"))</f>
        <v>3.0503307564872873E-4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6.7290846709936347E-2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1.9677687001584718E-2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4.5015575898354251E-3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1.6299615520426303E-2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3.9154587648522807E-7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9.4501715965581302E-4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6.8861561214629595E-5</v>
      </c>
      <c r="C10" s="424"/>
      <c r="D10" s="426">
        <f>vkm_SW_PW*SUMIFS(TableVerdeelsleutelVkm[CNG],TableVerdeelsleutelVkm[Voertuigtype],"Lichte voertuigen")*SUMIFS(TableECFTransport[EnergieConsumptieFactor (PJ per km)],TableECFTransport[Index],CONCATENATE($A10,"_CNG_CNG"))</f>
        <v>1.2167048370956312E-4</v>
      </c>
      <c r="E10" s="426">
        <f>vkm_SW_PW*SUMIFS(TableVerdeelsleutelVkm[LPG],TableVerdeelsleutelVkm[Voertuigtype],"Lichte voertuigen")*SUMIFS(TableECFTransport[EnergieConsumptieFactor (PJ per km)],TableECFTransport[Index],CONCATENATE($A10,"_LPG_LPG"))</f>
        <v>1.4695325299204679E-3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0.31054320602713364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7.7938295130775256E-2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2.038175220635732E-2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0.18752247522847401</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3.8640529469870587E-6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1.0872136106956779E-2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24.315112315188639</v>
      </c>
      <c r="C14" s="21"/>
      <c r="D14" s="21">
        <f t="shared" ref="D14:M14" si="0">((D5)*10^9/3600)+D12</f>
        <v>46.694119112504076</v>
      </c>
      <c r="E14" s="21">
        <f t="shared" si="0"/>
        <v>528.31181588467928</v>
      </c>
      <c r="F14" s="21"/>
      <c r="G14" s="21">
        <f t="shared" si="0"/>
        <v>172890.78259107302</v>
      </c>
      <c r="H14" s="21">
        <f t="shared" si="0"/>
        <v>29353.603143516375</v>
      </c>
      <c r="I14" s="21"/>
      <c r="J14" s="21"/>
      <c r="K14" s="21"/>
      <c r="L14" s="21"/>
      <c r="M14" s="21">
        <f t="shared" si="0"/>
        <v>10919.084030147338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0.20620240230844877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5.0138345717916453</v>
      </c>
      <c r="C18" s="23"/>
      <c r="D18" s="23">
        <f t="shared" ref="D18:M18" si="1">D14*D16</f>
        <v>9.4322120607258242</v>
      </c>
      <c r="E18" s="23">
        <f t="shared" si="1"/>
        <v>119.92678220582221</v>
      </c>
      <c r="F18" s="23"/>
      <c r="G18" s="23">
        <f t="shared" si="1"/>
        <v>46161.838951816499</v>
      </c>
      <c r="H18" s="23">
        <f t="shared" si="1"/>
        <v>7309.0471827355777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5.0266502288901782E-3</v>
      </c>
      <c r="H50" s="319">
        <f t="shared" si="2"/>
        <v>0</v>
      </c>
      <c r="I50" s="319">
        <f t="shared" si="2"/>
        <v>0</v>
      </c>
      <c r="J50" s="319">
        <f t="shared" si="2"/>
        <v>0</v>
      </c>
      <c r="K50" s="319">
        <f t="shared" si="2"/>
        <v>0</v>
      </c>
      <c r="L50" s="319">
        <f t="shared" si="2"/>
        <v>0</v>
      </c>
      <c r="M50" s="319">
        <f t="shared" si="2"/>
        <v>2.8730802742840407E-4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5.0266502288901782E-3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2.8730802742840407E-4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1396.2917302472715</v>
      </c>
      <c r="H54" s="21">
        <f t="shared" si="3"/>
        <v>0</v>
      </c>
      <c r="I54" s="21">
        <f t="shared" si="3"/>
        <v>0</v>
      </c>
      <c r="J54" s="21">
        <f t="shared" si="3"/>
        <v>0</v>
      </c>
      <c r="K54" s="21">
        <f t="shared" si="3"/>
        <v>0</v>
      </c>
      <c r="L54" s="21">
        <f t="shared" si="3"/>
        <v>0</v>
      </c>
      <c r="M54" s="21">
        <f t="shared" si="3"/>
        <v>79.807785396778911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0.20620240230844877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372.8098919760215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2439.1235249138617</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40.5</v>
      </c>
      <c r="C8" s="545">
        <f>B48</f>
        <v>47.647058823529413</v>
      </c>
      <c r="D8" s="1022"/>
      <c r="E8" s="1022">
        <f>E48</f>
        <v>0</v>
      </c>
      <c r="F8" s="1023"/>
      <c r="G8" s="546"/>
      <c r="H8" s="1022">
        <f>I48</f>
        <v>0</v>
      </c>
      <c r="I8" s="1022">
        <f>G48+F48</f>
        <v>0</v>
      </c>
      <c r="J8" s="1022">
        <f>H48+D48+C48</f>
        <v>0</v>
      </c>
      <c r="K8" s="1022"/>
      <c r="L8" s="1022"/>
      <c r="M8" s="1022"/>
      <c r="N8" s="547"/>
      <c r="O8" s="548">
        <f>C8*$C$12+D8*$D$12+E8*$E$12+F8*$F$12+G8*$G$12+H8*$H$12+I8*$I$12+J8*$J$12</f>
        <v>9.6247058823529414</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2479.6235249138617</v>
      </c>
      <c r="C10" s="558">
        <f t="shared" ref="C10:L10" si="0">SUM(C8:C9)</f>
        <v>47.647058823529413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9.6247058823529414</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57.857142857142861</v>
      </c>
      <c r="C17" s="570">
        <f>B49</f>
        <v>68.067226890756316</v>
      </c>
      <c r="D17" s="571"/>
      <c r="E17" s="571">
        <f>E49</f>
        <v>0</v>
      </c>
      <c r="F17" s="1028"/>
      <c r="G17" s="572"/>
      <c r="H17" s="570">
        <f>I49</f>
        <v>0</v>
      </c>
      <c r="I17" s="571">
        <f>G49+F49</f>
        <v>0</v>
      </c>
      <c r="J17" s="571">
        <f>H49+D49+C49</f>
        <v>0</v>
      </c>
      <c r="K17" s="571"/>
      <c r="L17" s="571"/>
      <c r="M17" s="571"/>
      <c r="N17" s="1029"/>
      <c r="O17" s="573">
        <f>C17*$C$22+E17*$E$22+H17*$H$22+I17*$I$22+J17*$J$22+D17*$D$22+F17*$F$22+G17*$G$22+K17*$K$22+L17*$L$22</f>
        <v>13.749579831932778</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57.857142857142861</v>
      </c>
      <c r="C20" s="557">
        <f>SUM(C17:C19)</f>
        <v>68.067226890756316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13.749579831932778</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23105</v>
      </c>
      <c r="C28" s="771">
        <v>1790</v>
      </c>
      <c r="D28" s="628" t="s">
        <v>913</v>
      </c>
      <c r="E28" s="627" t="s">
        <v>914</v>
      </c>
      <c r="F28" s="627" t="s">
        <v>915</v>
      </c>
      <c r="G28" s="627" t="s">
        <v>916</v>
      </c>
      <c r="H28" s="627" t="s">
        <v>917</v>
      </c>
      <c r="I28" s="627" t="s">
        <v>914</v>
      </c>
      <c r="J28" s="770">
        <v>40884</v>
      </c>
      <c r="K28" s="770">
        <v>40878</v>
      </c>
      <c r="L28" s="627" t="s">
        <v>918</v>
      </c>
      <c r="M28" s="627">
        <v>9</v>
      </c>
      <c r="N28" s="627">
        <v>40.5</v>
      </c>
      <c r="O28" s="627">
        <v>57.857142857142861</v>
      </c>
      <c r="P28" s="627">
        <v>115.71428571428572</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9</v>
      </c>
      <c r="N29" s="585">
        <f>SUM(N28:N28)</f>
        <v>40.5</v>
      </c>
      <c r="O29" s="585">
        <f>SUM(O28:O28)</f>
        <v>57.857142857142861</v>
      </c>
      <c r="P29" s="585">
        <f>SUM(P28:P28)</f>
        <v>115.71428571428572</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9</v>
      </c>
      <c r="N31" s="585">
        <f ca="1">SUMIF($Z$28:AD28,"tertiair",N28:N28)</f>
        <v>40.5</v>
      </c>
      <c r="O31" s="585">
        <f ca="1">SUMIF($Z$28:AE28,"tertiair",O28:O28)</f>
        <v>57.857142857142861</v>
      </c>
      <c r="P31" s="585">
        <f ca="1">SUMIF($Z$28:AF28,"tertiair",P28:P28)</f>
        <v>115.71428571428572</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47.647058823529413</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68.067226890756316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2020-06-20T16:05:12Z</dcterms:modified>
</cp:coreProperties>
</file>