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O4" i="48"/>
  <c r="O22" i="48" s="1"/>
  <c r="P11" i="14"/>
  <c r="J15" i="16"/>
  <c r="B7" i="48"/>
  <c r="C24" i="14"/>
  <c r="C26" i="14" s="1"/>
  <c r="B4" i="48"/>
  <c r="C11" i="14"/>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Q46" i="14"/>
  <c r="Q61" i="14" s="1"/>
  <c r="Q63" i="14"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N52" i="14"/>
  <c r="N61" i="14" s="1"/>
  <c r="N63" i="14" s="1"/>
  <c r="K10" i="14"/>
  <c r="J5" i="48"/>
  <c r="J23" i="48" s="1"/>
  <c r="N22" i="14"/>
  <c r="N27"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F13" i="14"/>
  <c r="F16" i="14" s="1"/>
  <c r="F27" i="14" s="1"/>
  <c r="F63" i="14" s="1"/>
  <c r="J22" i="16"/>
  <c r="K43" i="14" s="1"/>
  <c r="K46" i="14" s="1"/>
  <c r="K61" i="14" s="1"/>
  <c r="K63" i="14" s="1"/>
  <c r="K13" i="14"/>
  <c r="K16" i="14" s="1"/>
  <c r="K27" i="14" s="1"/>
  <c r="J8" i="48"/>
  <c r="E33" i="48"/>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<sst xmlns="http://schemas.openxmlformats.org/spreadsheetml/2006/main" count="2434" uniqueCount="913">
  <si>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</si>
  <si>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</si>
  <si>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</si>
  <si>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</si>
  <si>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</si>
  <si>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</si>
  <si>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</si>
  <si>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</si>
  <si>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</si>
  <si>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</si>
  <si>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</si>
  <si>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</si>
  <si>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</si>
  <si>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</si>
  <si>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</si>
  <si>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</si>
  <si>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</si>
  <si>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</si>
  <si>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</si>
  <si>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</si>
  <si>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</si>
  <si>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</si>
  <si>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</si>
  <si>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</si>
  <si>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</si>
  <si>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</si>
  <si>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</si>
  <si>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</si>
  <si>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</si>
  <si>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</si>
  <si>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</si>
  <si>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</si>
  <si>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</si>
  <si>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</si>
  <si>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</si>
  <si>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</si>
  <si>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</si>
  <si>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</si>
  <si>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</si>
  <si>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</si>
  <si>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</si>
  <si>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</si>
  <si>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</si>
  <si>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</si>
  <si>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</si>
  <si>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</si>
  <si>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</si>
  <si>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</si>
  <si>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</si>
  <si>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</si>
  <si>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</si>
  <si>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</si>
  <si>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</si>
  <si>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</si>
  <si>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</si>
  <si>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</si>
  <si>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</si>
  <si>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</si>
  <si>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</si>
  <si>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</si>
  <si>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</si>
  <si>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</si>
  <si>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</si>
  <si>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</si>
  <si>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</si>
  <si>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</si>
  <si>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</si>
  <si>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</si>
  <si>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</si>
  <si>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</si>
  <si>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</si>
  <si>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</si>
  <si>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</si>
  <si>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</si>
  <si>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</si>
  <si>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</si>
  <si>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</si>
  <si>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</si>
  <si>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</si>
  <si>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</si>
  <si>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</si>
  <si>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</si>
  <si>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</si>
  <si>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</si>
  <si>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</si>
  <si>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</si>
  <si>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</si>
  <si>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</si>
  <si>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</si>
  <si>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</si>
  <si>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</si>
  <si>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</si>
  <si>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</si>
  <si>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</si>
  <si>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</si>
  <si>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</si>
  <si>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</si>
  <si>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</si>
  <si>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</si>
  <si>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</si>
  <si>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</si>
  <si>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</si>
  <si>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</si>
  <si>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</si>
  <si>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</si>
  <si>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</si>
  <si>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</si>
  <si>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</si>
  <si>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</si>
  <si>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</si>
  <si>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</si>
  <si>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</si>
  <si>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</si>
  <si>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</si>
  <si>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</si>
  <si>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</si>
  <si>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</si>
  <si>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</si>
  <si>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</si>
  <si>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</si>
  <si>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</si>
  <si>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</si>
  <si>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</si>
  <si>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</si>
  <si>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</si>
  <si>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</si>
  <si>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</si>
  <si>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</si>
  <si>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</si>
  <si>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</si>
  <si>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</si>
  <si>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</si>
  <si>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</si>
  <si>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</si>
  <si>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</si>
  <si>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</si>
  <si>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</si>
  <si>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</si>
  <si>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</si>
  <si>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</si>
  <si>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</si>
  <si>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</si>
  <si>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</si>
  <si>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</si>
  <si>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</si>
  <si>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</si>
  <si>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</si>
  <si>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</si>
  <si>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</si>
  <si>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</si>
  <si>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</si>
  <si>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</si>
  <si>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</si>
  <si>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</si>
  <si>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</si>
  <si>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</si>
  <si>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</si>
  <si>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</si>
  <si>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</si>
  <si>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</si>
  <si>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</si>
  <si>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</si>
  <si>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</si>
  <si>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</si>
  <si>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</si>
  <si>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</si>
  <si>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</si>
  <si>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</si>
  <si>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</si>
  <si>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</si>
  <si>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</si>
  <si>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</si>
  <si>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</si>
  <si>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</si>
  <si>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</si>
  <si>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</si>
  <si>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</si>
  <si>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</si>
  <si>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</si>
  <si>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</si>
  <si>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</si>
  <si>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</si>
  <si>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</si>
  <si>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</si>
  <si>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</si>
  <si>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</si>
  <si>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</si>
  <si>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</si>
  <si>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</si>
  <si>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</si>
  <si>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</si>
  <si>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</si>
  <si>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</si>
  <si>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</si>
  <si>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</si>
  <si>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</si>
  <si>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</si>
  <si>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</si>
  <si>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</si>
  <si>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</si>
  <si>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</si>
  <si>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</si>
  <si>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</si>
  <si>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</si>
  <si>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</si>
  <si>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</si>
  <si>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</si>
  <si>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</si>
  <si>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</si>
  <si>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</si>
  <si>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</si>
  <si>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</si>
  <si>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</si>
  <si>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</si>
  <si>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</si>
  <si>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</si>
  <si>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</si>
  <si>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</si>
  <si>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</si>
  <si>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</si>
  <si>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</si>
  <si>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</si>
  <si>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</si>
  <si>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</si>
  <si>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</si>
  <si>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</si>
  <si>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</si>
  <si>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</si>
  <si>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</si>
  <si>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</si>
  <si>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</si>
  <si>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</si>
  <si>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</si>
  <si>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</si>
  <si>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</si>
  <si>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</si>
  <si>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</si>
  <si>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</si>
  <si>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</si>
  <si>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</si>
  <si>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</si>
  <si>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</si>
  <si>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</si>
  <si>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</si>
  <si>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</si>
  <si>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</si>
  <si>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</si>
  <si>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</si>
  <si>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</si>
  <si>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</si>
  <si>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</si>
  <si>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</si>
  <si>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</si>
  <si>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</si>
  <si>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</si>
  <si>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</si>
  <si>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</si>
  <si>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</si>
  <si>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</si>
  <si>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</si>
  <si>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</si>
  <si>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</si>
  <si>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</si>
  <si>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</si>
  <si>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</si>
  <si>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</si>
  <si>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</si>
  <si>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</si>
  <si>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</si>
  <si>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</si>
  <si>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</si>
  <si>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</si>
  <si>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</si>
  <si>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</si>
  <si>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</si>
  <si>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</si>
  <si>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</si>
  <si>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</si>
  <si>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</si>
  <si>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</si>
  <si>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</si>
  <si>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</si>
  <si>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</si>
  <si>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</si>
  <si>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</si>
  <si>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</si>
  <si>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</si>
  <si>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</si>
  <si>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</si>
  <si>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</si>
  <si>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</si>
  <si>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</si>
  <si>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</si>
  <si>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</si>
  <si>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</si>
  <si>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</si>
  <si>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</si>
  <si>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</si>
  <si>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</si>
  <si>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</si>
  <si>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</si>
  <si>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</si>
  <si>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</si>
  <si>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</si>
  <si>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</si>
  <si>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</si>
  <si>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</si>
  <si>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</si>
  <si>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</si>
  <si>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</si>
  <si>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</si>
  <si>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</si>
  <si>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</si>
  <si>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</si>
  <si>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</si>
  <si>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</si>
  <si>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</si>
  <si>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</si>
  <si>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</si>
  <si>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</si>
  <si>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</si>
  <si>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</si>
  <si>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</si>
  <si>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</si>
  <si>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</si>
  <si>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</si>
  <si>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</si>
  <si>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</si>
  <si>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</si>
  <si>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</si>
  <si>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</si>
  <si>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</si>
  <si>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</si>
  <si>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</si>
  <si>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</si>
  <si>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</si>
  <si>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</si>
  <si>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</si>
  <si>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</si>
  <si>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</si>
  <si>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</si>
  <si>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</si>
  <si>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</si>
  <si>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</si>
  <si>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</si>
  <si>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</si>
  <si>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</si>
  <si>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</si>
  <si>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</si>
  <si>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</si>
  <si>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</si>
  <si>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</si>
  <si>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</si>
  <si>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</si>
  <si>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</si>
  <si>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</si>
  <si>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</si>
  <si>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</si>
  <si>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</si>
  <si>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</si>
  <si>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</si>
  <si>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</si>
  <si>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</si>
  <si>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</si>
  <si>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</si>
  <si>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</si>
  <si>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</si>
  <si>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</si>
  <si>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</si>
  <si>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</si>
  <si>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</si>
  <si>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</si>
  <si>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</si>
  <si>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</si>
  <si>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</si>
  <si>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</si>
  <si>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</si>
  <si>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</si>
  <si>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</si>
  <si>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</si>
  <si>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</si>
  <si>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</si>
  <si>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</si>
  <si>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</si>
  <si>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</si>
  <si>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</si>
  <si>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</si>
  <si>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</si>
  <si>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</si>
  <si>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</si>
  <si>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</si>
  <si>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</si>
  <si>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</si>
  <si>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</si>
  <si>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</si>
  <si>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</si>
  <si>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</si>
  <si>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</si>
  <si>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</si>
  <si>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</si>
  <si>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</si>
  <si>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</si>
  <si>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</si>
  <si>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</si>
  <si>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</si>
  <si>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</si>
  <si>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</si>
  <si>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</si>
  <si>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</si>
  <si>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</si>
  <si>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</si>
  <si>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</si>
  <si>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</si>
  <si>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</si>
  <si>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</si>
  <si>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</si>
  <si>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</si>
  <si>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</si>
  <si>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</si>
  <si>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</si>
  <si>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</si>
  <si>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</si>
  <si>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</si>
  <si>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</si>
  <si>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</si>
  <si>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</si>
  <si>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</si>
  <si>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</si>
  <si>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</si>
  <si>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</si>
  <si>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</si>
  <si>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</si>
  <si>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</si>
  <si>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</si>
  <si>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</si>
  <si>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</si>
  <si>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</si>
  <si>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</si>
  <si>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</si>
  <si>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</si>
  <si>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</si>
  <si>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</si>
  <si>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</si>
  <si>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</si>
  <si>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</si>
  <si>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</si>
  <si>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</si>
  <si>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</si>
  <si>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</si>
  <si>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</si>
  <si>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</si>
  <si>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</si>
  <si>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</si>
  <si>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</si>
  <si>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</si>
  <si>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</si>
  <si>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</si>
  <si>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</si>
  <si>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</si>
  <si>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</si>
  <si>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</si>
  <si>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</si>
  <si>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</si>
  <si>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</si>
  <si>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</si>
  <si>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</si>
  <si>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</si>
  <si>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</si>
  <si>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</si>
  <si>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</si>
  <si>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</si>
  <si>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</si>
  <si>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</si>
  <si>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</si>
  <si>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</si>
  <si>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</si>
  <si>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</si>
  <si>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</si>
  <si>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</si>
  <si>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</si>
  <si>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</si>
  <si>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</si>
  <si>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</si>
  <si>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</si>
  <si>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</si>
  <si>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</si>
  <si>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</si>
  <si>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</si>
  <si>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</si>
  <si>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</si>
  <si>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</si>
  <si>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</si>
  <si>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</si>
  <si>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</si>
  <si>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</si>
  <si>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</si>
  <si>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</si>
  <si>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</si>
  <si>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</si>
  <si>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</si>
  <si>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</si>
  <si>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</si>
  <si>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</si>
  <si>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</si>
  <si>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</si>
  <si>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</si>
  <si>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</si>
  <si>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</si>
  <si>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</si>
  <si>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</si>
  <si>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</si>
  <si>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</si>
  <si>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</si>
  <si>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</si>
  <si>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</si>
  <si>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</si>
  <si>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</si>
  <si>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</si>
  <si>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</si>
  <si>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</si>
  <si>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</si>
  <si>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</si>
  <si>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</si>
  <si>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</si>
  <si>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</si>
  <si>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</si>
  <si>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</si>
  <si>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</si>
  <si>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</si>
  <si>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</si>
  <si>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</si>
  <si>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</si>
  <si>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</si>
  <si>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</si>
  <si>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</si>
  <si>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</si>
  <si>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</si>
  <si>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</si>
  <si>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</si>
  <si>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</si>
  <si>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</si>
  <si>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</si>
  <si>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</si>
  <si>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</si>
  <si>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</si>
  <si>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</si>
  <si>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</si>
  <si>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</si>
  <si>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</si>
  <si>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</si>
  <si>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</si>
  <si>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</si>
  <si>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</si>
  <si>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</si>
  <si>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</si>
  <si>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</si>
  <si>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</si>
  <si>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</si>
  <si>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</si>
  <si>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</si>
  <si>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</si>
  <si>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</si>
  <si>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</si>
  <si>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</si>
  <si>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</si>
  <si>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</si>
  <si>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</si>
  <si>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</si>
  <si>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</si>
  <si>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</si>
  <si>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</si>
  <si>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</si>
  <si>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</si>
  <si>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</si>
  <si>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</si>
  <si>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</si>
  <si>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</si>
  <si>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</si>
  <si>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</si>
  <si>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</si>
  <si>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</si>
  <si>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</si>
  <si>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</si>
  <si>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</si>
  <si>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</si>
  <si>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</si>
  <si>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</si>
  <si>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</si>
  <si>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</si>
  <si>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</si>
  <si>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</si>
  <si>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</si>
  <si>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</si>
  <si>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</si>
  <si>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</si>
  <si>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</si>
  <si>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</si>
  <si>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</si>
  <si>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</si>
  <si>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</si>
  <si>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</si>
  <si>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</si>
  <si>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</si>
  <si>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</si>
  <si>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</si>
  <si>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</si>
  <si>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</si>
  <si>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</si>
  <si>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</si>
  <si>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</si>
  <si>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</si>
  <si>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</si>
  <si>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</si>
  <si>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</si>
  <si>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</si>
  <si>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</si>
  <si>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</si>
  <si>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</si>
  <si>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</si>
  <si>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</si>
  <si>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</si>
  <si>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</si>
  <si>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</si>
  <si>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</si>
  <si>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</si>
  <si>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</si>
  <si>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</si>
  <si>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</si>
  <si>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</si>
  <si>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</si>
  <si>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</si>
  <si>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</si>
  <si>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</si>
  <si>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</si>
  <si>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</si>
  <si>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</si>
  <si>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</si>
  <si>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</si>
  <si>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</si>
  <si>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</si>
  <si>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</si>
  <si>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</si>
  <si>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</si>
  <si>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</si>
  <si>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</si>
  <si>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</si>
  <si>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</si>
  <si>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</si>
  <si>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</si>
  <si>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</si>
  <si>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</si>
  <si>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</si>
  <si>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</si>
  <si>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</si>
  <si>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</si>
  <si>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</si>
  <si>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</si>
  <si>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</si>
  <si>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</si>
  <si>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</si>
  <si>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</si>
  <si>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</si>
  <si>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</si>
  <si>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</si>
  <si>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</si>
  <si>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</si>
  <si>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</si>
  <si>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</si>
  <si>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</si>
  <si>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</si>
  <si>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</si>
  <si>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</si>
  <si>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</si>
  <si>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</si>
  <si>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</si>
  <si>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</si>
  <si>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</si>
  <si>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</si>
  <si>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</si>
  <si>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</si>
  <si>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</si>
  <si>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</si>
  <si>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</si>
  <si>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</si>
  <si>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</si>
  <si>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</si>
  <si>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</si>
  <si>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</si>
  <si>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</si>
  <si>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</si>
  <si>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</si>
  <si>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</si>
  <si>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</si>
  <si>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</si>
  <si>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</si>
  <si>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</si>
  <si>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</si>
  <si>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</si>
  <si>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</si>
  <si>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</si>
  <si>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</si>
  <si>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</si>
  <si>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</si>
  <si>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</si>
  <si>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</si>
  <si>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</si>
  <si>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</si>
  <si>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</si>
  <si>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</si>
  <si>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</si>
  <si>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</si>
  <si>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</si>
  <si>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</si>
  <si>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</si>
  <si>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</si>
  <si>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</si>
  <si>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</si>
  <si>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</si>
  <si>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</si>
  <si>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</si>
  <si>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</si>
  <si>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</si>
  <si>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</si>
  <si>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</si>
  <si>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</si>
  <si>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</si>
  <si>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</si>
  <si>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</si>
  <si>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</si>
  <si>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</si>
  <si>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</si>
  <si>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</si>
  <si>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</si>
  <si>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</si>
  <si>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</si>
  <si>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</si>
  <si>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</si>
  <si>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</si>
  <si>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</si>
  <si>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</si>
  <si>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</si>
  <si>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</si>
  <si>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</si>
  <si>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</si>
  <si>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</si>
  <si>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</si>
  <si>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</si>
  <si>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</si>
  <si>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</si>
  <si>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</si>
  <si>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</si>
  <si>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</si>
  <si>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</si>
  <si>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</si>
  <si>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</si>
  <si>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</si>
  <si>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</si>
  <si>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</si>
  <si>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</si>
  <si>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</si>
  <si>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</si>
  <si>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</si>
  <si>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</si>
  <si>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</si>
  <si>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</si>
  <si>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</si>
  <si>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</si>
  <si>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</si>
  <si>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</si>
  <si>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</si>
  <si>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</si>
  <si>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</si>
  <si>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</si>
  <si>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</si>
  <si>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</si>
  <si>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</si>
  <si>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</si>
  <si>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</si>
  <si>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</si>
  <si>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</si>
  <si>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</si>
  <si>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</si>
  <si>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</si>
  <si>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</si>
  <si>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</si>
  <si>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</si>
  <si>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</si>
  <si>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</si>
  <si>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</si>
  <si>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</si>
  <si>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</si>
  <si>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</si>
  <si>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</si>
  <si>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</si>
  <si>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</si>
  <si>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</si>
  <si>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</si>
  <si>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</si>
  <si>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</si>
  <si>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</si>
  <si>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</si>
  <si>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</si>
  <si>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</si>
  <si>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</si>
  <si>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</si>
  <si>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</si>
  <si>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</si>
  <si>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</si>
  <si>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</si>
  <si>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</si>
  <si>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</si>
  <si>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</si>
  <si>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</si>
  <si>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</si>
  <si>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</si>
  <si>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</si>
  <si>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</si>
  <si>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</si>
  <si>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</si>
  <si>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</si>
  <si>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</si>
  <si>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</si>
  <si>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</si>
  <si>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</si>
  <si>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</si>
  <si>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</si>
  <si>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</si>
  <si>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</si>
  <si>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</si>
  <si>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</si>
  <si>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</si>
  <si>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</si>
  <si>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</si>
  <si>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</si>
  <si>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</si>
  <si>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</si>
  <si>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</si>
  <si>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</si>
  <si>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</si>
  <si>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</si>
  <si>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</si>
  <si>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</si>
  <si>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</si>
  <si>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</si>
  <si>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</si>
  <si>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</si>
  <si>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</si>
  <si>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</si>
  <si>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</si>
  <si>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</si>
  <si>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</si>
  <si>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</si>
  <si>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</si>
  <si>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</si>
  <si>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</si>
  <si>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</si>
  <si>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</si>
  <si>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</si>
  <si>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</si>
  <si>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</si>
  <si>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</si>
  <si>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</si>
  <si>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</si>
  <si>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</si>
  <si>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</si>
  <si>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</si>
  <si>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</si>
  <si>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</si>
  <si>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</si>
  <si>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</si>
  <si>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</si>
  <si>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</si>
  <si>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</si>
  <si>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</si>
  <si>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</si>
  <si>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</si>
  <si>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</si>
  <si>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</si>
  <si>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</si>
  <si>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</si>
  <si>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</si>
  <si>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</si>
  <si>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</si>
  <si>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</si>
  <si>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</si>
  <si>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</si>
  <si>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</si>
  <si>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</si>
  <si>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</si>
  <si>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</si>
  <si>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</si>
  <si>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</si>
  <si>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</si>
  <si>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</si>
  <si>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</si>
  <si>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</si>
  <si>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</si>
  <si>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</si>
  <si>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</si>
  <si>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</si>
  <si>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</si>
  <si>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</si>
  <si>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</si>
  <si>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</si>
  <si>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</si>
  <si>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</si>
  <si>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</si>
  <si>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23102</t>
  </si>
  <si>
    <t>WEMMEL</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</si>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</sst>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112033.48474736234</c:v>
                </c:pt>
                <c:pt idx="1">
                  <c:v>48848.110299257489</c:v>
                </c:pt>
                <c:pt idx="2">
                  <c:v>1474.55</c:v>
                </c:pt>
                <c:pt idx="3">
                  <c:v>892.81653215278754</c:v>
                </c:pt>
                <c:pt idx="4">
                  <c:v>5962.2767531386744</c:v>
                </c:pt>
                <c:pt idx="5">
                  <c:v>169590.41473026481</c:v>
                </c:pt>
                <c:pt idx="6">
                  <c:v>1737.6407411860389</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112033.48474736234</c:v>
                </c:pt>
                <c:pt idx="1">
                  <c:v>48848.110299257489</c:v>
                </c:pt>
                <c:pt idx="2">
                  <c:v>1474.55</c:v>
                </c:pt>
                <c:pt idx="3">
                  <c:v>892.81653215278754</c:v>
                </c:pt>
                <c:pt idx="4">
                  <c:v>5962.2767531386744</c:v>
                </c:pt>
                <c:pt idx="5">
                  <c:v>169590.41473026481</c:v>
                </c:pt>
                <c:pt idx="6">
                  <c:v>1737.6407411860389</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23421.433537977689</c:v>
                </c:pt>
                <c:pt idx="2">
                  <c:v>9891.5224707813923</c:v>
                </c:pt>
                <c:pt idx="3">
                  <c:v>321.68863324213902</c:v>
                </c:pt>
                <c:pt idx="4">
                  <c:v>215.08866292740427</c:v>
                </c:pt>
                <c:pt idx="5">
                  <c:v>1265.5170575835198</c:v>
                </c:pt>
                <c:pt idx="6">
                  <c:v>42513.946841364625</c:v>
                </c:pt>
                <c:pt idx="7">
                  <c:v>438.86584213940984</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23421.433537977689</c:v>
                </c:pt>
                <c:pt idx="2">
                  <c:v>9891.5224707813923</c:v>
                </c:pt>
                <c:pt idx="3">
                  <c:v>321.68863324213902</c:v>
                </c:pt>
                <c:pt idx="4">
                  <c:v>215.08866292740427</c:v>
                </c:pt>
                <c:pt idx="5">
                  <c:v>1265.5170575835198</c:v>
                </c:pt>
                <c:pt idx="6">
                  <c:v>42513.946841364625</c:v>
                </c:pt>
                <c:pt idx="7">
                  <c:v>438.86584213940984</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23102</v>
      </c>
      <c r="B6" s="391"/>
      <c r="C6" s="392"/>
    </row>
    <row r="7" spans="1:7" s="389" customFormat="1" ht="15.75" customHeight="1">
      <c r="A7" s="393" t="str">
        <f>txtMunicipality</f>
        <v>WEMMEL</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0.21816054609347871</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0.21816054609347871</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6368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193</v>
      </c>
      <c r="C14" s="330"/>
      <c r="D14" s="330"/>
      <c r="E14" s="330"/>
      <c r="F14" s="330"/>
    </row>
    <row r="15" spans="1:6">
      <c r="A15" s="1305" t="s">
        <v>183</v>
      </c>
      <c r="B15" s="1306">
        <v>0</v>
      </c>
      <c r="C15" s="330"/>
      <c r="D15" s="330"/>
      <c r="E15" s="330"/>
      <c r="F15" s="330"/>
    </row>
    <row r="16" spans="1:6">
      <c r="A16" s="1305" t="s">
        <v>6</v>
      </c>
      <c r="B16" s="1306">
        <v>20</v>
      </c>
      <c r="C16" s="330"/>
      <c r="D16" s="330"/>
      <c r="E16" s="330"/>
      <c r="F16" s="330"/>
    </row>
    <row r="17" spans="1:6">
      <c r="A17" s="1305" t="s">
        <v>7</v>
      </c>
      <c r="B17" s="1306">
        <v>13</v>
      </c>
      <c r="C17" s="330"/>
      <c r="D17" s="330"/>
      <c r="E17" s="330"/>
      <c r="F17" s="330"/>
    </row>
    <row r="18" spans="1:6">
      <c r="A18" s="1305" t="s">
        <v>8</v>
      </c>
      <c r="B18" s="1306">
        <v>18</v>
      </c>
      <c r="C18" s="330"/>
      <c r="D18" s="330"/>
      <c r="E18" s="330"/>
      <c r="F18" s="330"/>
    </row>
    <row r="19" spans="1:6">
      <c r="A19" s="1305" t="s">
        <v>9</v>
      </c>
      <c r="B19" s="1306">
        <v>16</v>
      </c>
      <c r="C19" s="330"/>
      <c r="D19" s="330"/>
      <c r="E19" s="330"/>
      <c r="F19" s="330"/>
    </row>
    <row r="20" spans="1:6">
      <c r="A20" s="1305" t="s">
        <v>10</v>
      </c>
      <c r="B20" s="1306">
        <v>20</v>
      </c>
      <c r="C20" s="330"/>
      <c r="D20" s="330"/>
      <c r="E20" s="330"/>
      <c r="F20" s="330"/>
    </row>
    <row r="21" spans="1:6">
      <c r="A21" s="1305" t="s">
        <v>11</v>
      </c>
      <c r="B21" s="1306">
        <v>0</v>
      </c>
      <c r="C21" s="330"/>
      <c r="D21" s="330"/>
      <c r="E21" s="330"/>
      <c r="F21" s="330"/>
    </row>
    <row r="22" spans="1:6">
      <c r="A22" s="1305" t="s">
        <v>12</v>
      </c>
      <c r="B22" s="1306">
        <v>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0</v>
      </c>
      <c r="C26" s="330"/>
      <c r="D26" s="330"/>
      <c r="E26" s="330"/>
      <c r="F26" s="330"/>
    </row>
    <row r="27" spans="1:6">
      <c r="A27" s="1305" t="s">
        <v>17</v>
      </c>
      <c r="B27" s="1306">
        <v>0</v>
      </c>
      <c r="C27" s="330"/>
      <c r="D27" s="330"/>
      <c r="E27" s="330"/>
      <c r="F27" s="330"/>
    </row>
    <row r="28" spans="1:6" s="43" customFormat="1">
      <c r="A28" s="1307" t="s">
        <v>18</v>
      </c>
      <c r="B28" s="1308">
        <v>7</v>
      </c>
      <c r="C28" s="336"/>
      <c r="D28" s="336"/>
      <c r="E28" s="336"/>
      <c r="F28" s="336"/>
    </row>
    <row r="29" spans="1:6">
      <c r="A29" s="1307" t="s">
        <v>909</v>
      </c>
      <c r="B29" s="1308">
        <v>142</v>
      </c>
      <c r="C29" s="336"/>
      <c r="D29" s="336"/>
      <c r="E29" s="336"/>
      <c r="F29" s="336"/>
    </row>
    <row r="30" spans="1:6">
      <c r="A30" s="1300" t="s">
        <v>910</v>
      </c>
      <c r="B30" s="1309">
        <v>40</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0</v>
      </c>
      <c r="F38" s="1306">
        <v>0</v>
      </c>
    </row>
    <row r="39" spans="1:6">
      <c r="A39" s="1305" t="s">
        <v>29</v>
      </c>
      <c r="B39" s="1305" t="s">
        <v>30</v>
      </c>
      <c r="C39" s="1306">
        <v>4983</v>
      </c>
      <c r="D39" s="1306">
        <v>80831000.523965895</v>
      </c>
      <c r="E39" s="1306">
        <v>6430</v>
      </c>
      <c r="F39" s="1306">
        <v>23980520</v>
      </c>
    </row>
    <row r="40" spans="1:6">
      <c r="A40" s="1305" t="s">
        <v>29</v>
      </c>
      <c r="B40" s="1305" t="s">
        <v>28</v>
      </c>
      <c r="C40" s="1306">
        <v>0</v>
      </c>
      <c r="D40" s="1306">
        <v>0</v>
      </c>
      <c r="E40" s="1306">
        <v>0</v>
      </c>
      <c r="F40" s="1306">
        <v>0</v>
      </c>
    </row>
    <row r="41" spans="1:6">
      <c r="A41" s="1305" t="s">
        <v>31</v>
      </c>
      <c r="B41" s="1305" t="s">
        <v>32</v>
      </c>
      <c r="C41" s="1306">
        <v>37</v>
      </c>
      <c r="D41" s="1306">
        <v>1349058.9716272899</v>
      </c>
      <c r="E41" s="1306">
        <v>71</v>
      </c>
      <c r="F41" s="1306">
        <v>376598.6</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4</v>
      </c>
      <c r="F44" s="1306">
        <v>45077.7</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3</v>
      </c>
      <c r="F47" s="1306">
        <v>8528.64</v>
      </c>
    </row>
    <row r="48" spans="1:6">
      <c r="A48" s="1305" t="s">
        <v>31</v>
      </c>
      <c r="B48" s="1305" t="s">
        <v>28</v>
      </c>
      <c r="C48" s="1306">
        <v>15</v>
      </c>
      <c r="D48" s="1306">
        <v>356152.59473352</v>
      </c>
      <c r="E48" s="1306">
        <v>23</v>
      </c>
      <c r="F48" s="1306">
        <v>532890.69999999995</v>
      </c>
    </row>
    <row r="49" spans="1:6">
      <c r="A49" s="1305" t="s">
        <v>31</v>
      </c>
      <c r="B49" s="1305" t="s">
        <v>39</v>
      </c>
      <c r="C49" s="1306">
        <v>0</v>
      </c>
      <c r="D49" s="1306">
        <v>0</v>
      </c>
      <c r="E49" s="1306">
        <v>0</v>
      </c>
      <c r="F49" s="1306">
        <v>0</v>
      </c>
    </row>
    <row r="50" spans="1:6">
      <c r="A50" s="1305" t="s">
        <v>31</v>
      </c>
      <c r="B50" s="1305" t="s">
        <v>40</v>
      </c>
      <c r="C50" s="1306">
        <v>8</v>
      </c>
      <c r="D50" s="1306">
        <v>389117.787577977</v>
      </c>
      <c r="E50" s="1306">
        <v>8</v>
      </c>
      <c r="F50" s="1306">
        <v>719479.5</v>
      </c>
    </row>
    <row r="51" spans="1:6">
      <c r="A51" s="1305" t="s">
        <v>41</v>
      </c>
      <c r="B51" s="1305" t="s">
        <v>42</v>
      </c>
      <c r="C51" s="1306">
        <v>3</v>
      </c>
      <c r="D51" s="1306">
        <v>192010.595281338</v>
      </c>
      <c r="E51" s="1306">
        <v>8</v>
      </c>
      <c r="F51" s="1306">
        <v>56952.56</v>
      </c>
    </row>
    <row r="52" spans="1:6">
      <c r="A52" s="1305" t="s">
        <v>41</v>
      </c>
      <c r="B52" s="1305" t="s">
        <v>28</v>
      </c>
      <c r="C52" s="1306">
        <v>3</v>
      </c>
      <c r="D52" s="1306">
        <v>101404.45519137901</v>
      </c>
      <c r="E52" s="1306">
        <v>4</v>
      </c>
      <c r="F52" s="1306">
        <v>112830.2</v>
      </c>
    </row>
    <row r="53" spans="1:6">
      <c r="A53" s="1305" t="s">
        <v>43</v>
      </c>
      <c r="B53" s="1305" t="s">
        <v>44</v>
      </c>
      <c r="C53" s="1306">
        <v>204</v>
      </c>
      <c r="D53" s="1306">
        <v>3554305.5549277901</v>
      </c>
      <c r="E53" s="1306">
        <v>335</v>
      </c>
      <c r="F53" s="1306">
        <v>1265947</v>
      </c>
    </row>
    <row r="54" spans="1:6">
      <c r="A54" s="1305" t="s">
        <v>45</v>
      </c>
      <c r="B54" s="1305" t="s">
        <v>46</v>
      </c>
      <c r="C54" s="1306">
        <v>0</v>
      </c>
      <c r="D54" s="1306">
        <v>0</v>
      </c>
      <c r="E54" s="1306">
        <v>1</v>
      </c>
      <c r="F54" s="1306">
        <v>1474550</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33</v>
      </c>
      <c r="D57" s="1306">
        <v>1064865.26794326</v>
      </c>
      <c r="E57" s="1306">
        <v>109</v>
      </c>
      <c r="F57" s="1306">
        <v>2696701</v>
      </c>
    </row>
    <row r="58" spans="1:6">
      <c r="A58" s="1305" t="s">
        <v>48</v>
      </c>
      <c r="B58" s="1305" t="s">
        <v>50</v>
      </c>
      <c r="C58" s="1306">
        <v>30</v>
      </c>
      <c r="D58" s="1306">
        <v>1009475.55473767</v>
      </c>
      <c r="E58" s="1306">
        <v>39</v>
      </c>
      <c r="F58" s="1306">
        <v>321281.59999999998</v>
      </c>
    </row>
    <row r="59" spans="1:6">
      <c r="A59" s="1305" t="s">
        <v>48</v>
      </c>
      <c r="B59" s="1305" t="s">
        <v>51</v>
      </c>
      <c r="C59" s="1306">
        <v>55</v>
      </c>
      <c r="D59" s="1306">
        <v>2128758.7445478002</v>
      </c>
      <c r="E59" s="1306">
        <v>153</v>
      </c>
      <c r="F59" s="1306">
        <v>5247088</v>
      </c>
    </row>
    <row r="60" spans="1:6">
      <c r="A60" s="1305" t="s">
        <v>48</v>
      </c>
      <c r="B60" s="1305" t="s">
        <v>52</v>
      </c>
      <c r="C60" s="1306">
        <v>75</v>
      </c>
      <c r="D60" s="1306">
        <v>7440220.3163359901</v>
      </c>
      <c r="E60" s="1306">
        <v>90</v>
      </c>
      <c r="F60" s="1306">
        <v>2345064</v>
      </c>
    </row>
    <row r="61" spans="1:6">
      <c r="A61" s="1305" t="s">
        <v>48</v>
      </c>
      <c r="B61" s="1305" t="s">
        <v>53</v>
      </c>
      <c r="C61" s="1306">
        <v>219</v>
      </c>
      <c r="D61" s="1306">
        <v>9716524.0752864294</v>
      </c>
      <c r="E61" s="1306">
        <v>396</v>
      </c>
      <c r="F61" s="1306">
        <v>4760073</v>
      </c>
    </row>
    <row r="62" spans="1:6">
      <c r="A62" s="1305" t="s">
        <v>48</v>
      </c>
      <c r="B62" s="1305" t="s">
        <v>54</v>
      </c>
      <c r="C62" s="1306">
        <v>0</v>
      </c>
      <c r="D62" s="1306">
        <v>0</v>
      </c>
      <c r="E62" s="1306">
        <v>7</v>
      </c>
      <c r="F62" s="1306">
        <v>129785.3</v>
      </c>
    </row>
    <row r="63" spans="1:6">
      <c r="A63" s="1305" t="s">
        <v>48</v>
      </c>
      <c r="B63" s="1305" t="s">
        <v>28</v>
      </c>
      <c r="C63" s="1306">
        <v>93</v>
      </c>
      <c r="D63" s="1306">
        <v>5507874.6381685901</v>
      </c>
      <c r="E63" s="1306">
        <v>84</v>
      </c>
      <c r="F63" s="1306">
        <v>3598689</v>
      </c>
    </row>
    <row r="64" spans="1:6">
      <c r="A64" s="1305" t="s">
        <v>55</v>
      </c>
      <c r="B64" s="1305" t="s">
        <v>56</v>
      </c>
      <c r="C64" s="1306">
        <v>0</v>
      </c>
      <c r="D64" s="1306">
        <v>0</v>
      </c>
      <c r="E64" s="1306">
        <v>0</v>
      </c>
      <c r="F64" s="1306">
        <v>0</v>
      </c>
    </row>
    <row r="65" spans="1:6">
      <c r="A65" s="1305" t="s">
        <v>55</v>
      </c>
      <c r="B65" s="1305" t="s">
        <v>28</v>
      </c>
      <c r="C65" s="1306">
        <v>3</v>
      </c>
      <c r="D65" s="1306">
        <v>78230.574027604802</v>
      </c>
      <c r="E65" s="1306">
        <v>3</v>
      </c>
      <c r="F65" s="1306">
        <v>11034.71</v>
      </c>
    </row>
    <row r="66" spans="1:6">
      <c r="A66" s="1305" t="s">
        <v>55</v>
      </c>
      <c r="B66" s="1305" t="s">
        <v>57</v>
      </c>
      <c r="C66" s="1306">
        <v>0</v>
      </c>
      <c r="D66" s="1306">
        <v>0</v>
      </c>
      <c r="E66" s="1306">
        <v>3</v>
      </c>
      <c r="F66" s="1306">
        <v>295361.2</v>
      </c>
    </row>
    <row r="67" spans="1:6">
      <c r="A67" s="1307" t="s">
        <v>55</v>
      </c>
      <c r="B67" s="1307" t="s">
        <v>58</v>
      </c>
      <c r="C67" s="1306">
        <v>0</v>
      </c>
      <c r="D67" s="1306">
        <v>0</v>
      </c>
      <c r="E67" s="1306">
        <v>0</v>
      </c>
      <c r="F67" s="1306">
        <v>0</v>
      </c>
    </row>
    <row r="68" spans="1:6">
      <c r="A68" s="1300" t="s">
        <v>55</v>
      </c>
      <c r="B68" s="1300" t="s">
        <v>59</v>
      </c>
      <c r="C68" s="1309">
        <v>8</v>
      </c>
      <c r="D68" s="1309">
        <v>117965.88895608</v>
      </c>
      <c r="E68" s="1309">
        <v>11</v>
      </c>
      <c r="F68" s="1309">
        <v>44380.02</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43886052</v>
      </c>
      <c r="E73" s="450"/>
      <c r="F73" s="330"/>
    </row>
    <row r="74" spans="1:6">
      <c r="A74" s="1305" t="s">
        <v>63</v>
      </c>
      <c r="B74" s="1305" t="s">
        <v>710</v>
      </c>
      <c r="C74" s="1319" t="s">
        <v>712</v>
      </c>
      <c r="D74" s="1320">
        <v>983385.49338487501</v>
      </c>
      <c r="E74" s="450"/>
      <c r="F74" s="330"/>
    </row>
    <row r="75" spans="1:6">
      <c r="A75" s="1305" t="s">
        <v>64</v>
      </c>
      <c r="B75" s="1305" t="s">
        <v>709</v>
      </c>
      <c r="C75" s="1319" t="s">
        <v>713</v>
      </c>
      <c r="D75" s="1320">
        <v>13260440</v>
      </c>
      <c r="E75" s="450"/>
      <c r="F75" s="330"/>
    </row>
    <row r="76" spans="1:6">
      <c r="A76" s="1305" t="s">
        <v>64</v>
      </c>
      <c r="B76" s="1305" t="s">
        <v>710</v>
      </c>
      <c r="C76" s="1319" t="s">
        <v>714</v>
      </c>
      <c r="D76" s="1320">
        <v>123913.49338487504</v>
      </c>
      <c r="E76" s="450"/>
      <c r="F76" s="330"/>
    </row>
    <row r="77" spans="1:6">
      <c r="A77" s="1305" t="s">
        <v>65</v>
      </c>
      <c r="B77" s="1305" t="s">
        <v>709</v>
      </c>
      <c r="C77" s="1319" t="s">
        <v>715</v>
      </c>
      <c r="D77" s="1320">
        <v>129463187</v>
      </c>
      <c r="E77" s="450"/>
      <c r="F77" s="330"/>
    </row>
    <row r="78" spans="1:6">
      <c r="A78" s="1300" t="s">
        <v>65</v>
      </c>
      <c r="B78" s="1300" t="s">
        <v>710</v>
      </c>
      <c r="C78" s="1300" t="s">
        <v>716</v>
      </c>
      <c r="D78" s="1321">
        <v>15351400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466557.01323024993</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599.64955328985218</v>
      </c>
      <c r="C91" s="330"/>
      <c r="D91" s="330"/>
      <c r="E91" s="330"/>
      <c r="F91" s="330"/>
    </row>
    <row r="92" spans="1:6">
      <c r="A92" s="1300" t="s">
        <v>68</v>
      </c>
      <c r="B92" s="1301">
        <v>20.826625907412279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3562</v>
      </c>
      <c r="C97" s="330"/>
      <c r="D97" s="330"/>
      <c r="E97" s="330"/>
      <c r="F97" s="330"/>
    </row>
    <row r="98" spans="1:6">
      <c r="A98" s="1305" t="s">
        <v>71</v>
      </c>
      <c r="B98" s="1306">
        <v>0</v>
      </c>
      <c r="C98" s="330"/>
      <c r="D98" s="330"/>
      <c r="E98" s="330"/>
      <c r="F98" s="330"/>
    </row>
    <row r="99" spans="1:6">
      <c r="A99" s="1305" t="s">
        <v>72</v>
      </c>
      <c r="B99" s="1306">
        <v>15</v>
      </c>
      <c r="C99" s="330"/>
      <c r="D99" s="330"/>
      <c r="E99" s="330"/>
      <c r="F99" s="330"/>
    </row>
    <row r="100" spans="1:6">
      <c r="A100" s="1305" t="s">
        <v>73</v>
      </c>
      <c r="B100" s="1306">
        <v>277</v>
      </c>
      <c r="C100" s="330"/>
      <c r="D100" s="330"/>
      <c r="E100" s="330"/>
      <c r="F100" s="330"/>
    </row>
    <row r="101" spans="1:6">
      <c r="A101" s="1305" t="s">
        <v>74</v>
      </c>
      <c r="B101" s="1306">
        <v>7</v>
      </c>
      <c r="C101" s="330"/>
      <c r="D101" s="330"/>
      <c r="E101" s="330"/>
      <c r="F101" s="330"/>
    </row>
    <row r="102" spans="1:6">
      <c r="A102" s="1305" t="s">
        <v>75</v>
      </c>
      <c r="B102" s="1306">
        <v>118</v>
      </c>
      <c r="C102" s="330"/>
      <c r="D102" s="330"/>
      <c r="E102" s="330"/>
      <c r="F102" s="330"/>
    </row>
    <row r="103" spans="1:6">
      <c r="A103" s="1305" t="s">
        <v>76</v>
      </c>
      <c r="B103" s="1306">
        <v>26</v>
      </c>
      <c r="C103" s="330"/>
      <c r="D103" s="330"/>
      <c r="E103" s="330"/>
      <c r="F103" s="330"/>
    </row>
    <row r="104" spans="1:6">
      <c r="A104" s="1305" t="s">
        <v>77</v>
      </c>
      <c r="B104" s="1306">
        <v>1689</v>
      </c>
      <c r="C104" s="330"/>
      <c r="D104" s="330"/>
      <c r="E104" s="330"/>
      <c r="F104" s="330"/>
    </row>
    <row r="105" spans="1:6">
      <c r="A105" s="1300" t="s">
        <v>78</v>
      </c>
      <c r="B105" s="1309">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5</v>
      </c>
      <c r="C123" s="1306">
        <v>6</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25</v>
      </c>
      <c r="C129" s="330"/>
      <c r="D129" s="330"/>
      <c r="E129" s="330"/>
      <c r="F129" s="330"/>
    </row>
    <row r="130" spans="1:6">
      <c r="A130" s="1305" t="s">
        <v>294</v>
      </c>
      <c r="B130" s="1306">
        <v>0</v>
      </c>
      <c r="C130" s="330"/>
      <c r="D130" s="330"/>
      <c r="E130" s="330"/>
      <c r="F130" s="330"/>
    </row>
    <row r="131" spans="1:6">
      <c r="A131" s="1305" t="s">
        <v>295</v>
      </c>
      <c r="B131" s="1306">
        <v>4</v>
      </c>
      <c r="C131" s="330"/>
      <c r="D131" s="330"/>
      <c r="E131" s="330"/>
      <c r="F131" s="330"/>
    </row>
    <row r="132" spans="1:6">
      <c r="A132" s="1300" t="s">
        <v>296</v>
      </c>
      <c r="B132" s="1301">
        <v>2</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48292.81971708146</v>
      </c>
      <c r="C3" s="43" t="s">
        <v>169</v>
      </c>
      <c r="D3" s="43"/>
      <c r="E3" s="154"/>
      <c r="F3" s="43"/>
      <c r="G3" s="43"/>
      <c r="H3" s="43"/>
      <c r="I3" s="43"/>
      <c r="J3" s="43"/>
      <c r="K3" s="96"/>
    </row>
    <row r="4" spans="1:11">
      <c r="A4" s="359" t="s">
        <v>170</v>
      </c>
      <c r="B4" s="49">
        <f>IF(ISERROR('SEAP template'!B78+'SEAP template'!C78),0,'SEAP template'!B78+'SEAP template'!C78)</f>
        <v>620.4761791972644</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0.21816054609347871</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1474.55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1474.55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0.21816054609347871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321.68863324213902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23980.52</v>
      </c>
      <c r="C5" s="17">
        <f>IF(ISERROR('Eigen informatie GS &amp; warmtenet'!B57),0,'Eigen informatie GS &amp; warmtenet'!B57)</f>
        <v>0</v>
      </c>
      <c r="D5" s="30">
        <f>(SUM(HH_hh_gas_kWh,HH_rest_gas_kWh)/1000)*0.902</f>
        <v>72909.562472617239</v>
      </c>
      <c r="E5" s="17">
        <f>B46*B57</f>
        <v>3876.1678955148814</v>
      </c>
      <c r="F5" s="17">
        <f>B51*B62</f>
        <v>9181.2306869330259</v>
      </c>
      <c r="G5" s="18"/>
      <c r="H5" s="17"/>
      <c r="I5" s="17"/>
      <c r="J5" s="17">
        <f>B50*B61+C50*C61</f>
        <v>0</v>
      </c>
      <c r="K5" s="17"/>
      <c r="L5" s="17"/>
      <c r="M5" s="17"/>
      <c r="N5" s="17">
        <f>B48*B59+C48*C59</f>
        <v>1304.4241390073516</v>
      </c>
      <c r="O5" s="17">
        <f>B69*B70*B71</f>
        <v>48.463333333333338</v>
      </c>
      <c r="P5" s="17">
        <f>B77*B78*B79/1000-B77*B78*B79/1000/B80</f>
        <v>133.46666666666667</v>
      </c>
    </row>
    <row r="6" spans="1:16">
      <c r="A6" s="16" t="s">
        <v>630</v>
      </c>
      <c r="B6" s="763">
        <f>kWh_PV_kleiner_dan_10kW</f>
        <v>599.64955328985218</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24580.169553289852</v>
      </c>
      <c r="C8" s="21">
        <f>C5</f>
        <v>0</v>
      </c>
      <c r="D8" s="21">
        <f>D5</f>
        <v>72909.562472617239</v>
      </c>
      <c r="E8" s="21">
        <f>E5</f>
        <v>3876.1678955148814</v>
      </c>
      <c r="F8" s="21">
        <f>F5</f>
        <v>9181.2306869330259</v>
      </c>
      <c r="G8" s="21"/>
      <c r="H8" s="21"/>
      <c r="I8" s="21"/>
      <c r="J8" s="21">
        <f>J5</f>
        <v>0</v>
      </c>
      <c r="K8" s="21"/>
      <c r="L8" s="21">
        <f>L5</f>
        <v>0</v>
      </c>
      <c r="M8" s="21">
        <f>M5</f>
        <v>0</v>
      </c>
      <c r="N8" s="21">
        <f>N5</f>
        <v>1304.4241390073516</v>
      </c>
      <c r="O8" s="21">
        <f>O5</f>
        <v>48.463333333333338</v>
      </c>
      <c r="P8" s="21">
        <f>P5</f>
        <v>133.46666666666667</v>
      </c>
    </row>
    <row r="9" spans="1:16">
      <c r="B9" s="19"/>
      <c r="C9" s="19"/>
      <c r="D9" s="258"/>
      <c r="E9" s="19"/>
      <c r="F9" s="19"/>
      <c r="G9" s="19"/>
      <c r="H9" s="19"/>
      <c r="I9" s="19"/>
      <c r="J9" s="19"/>
      <c r="K9" s="19"/>
      <c r="L9" s="19"/>
      <c r="M9" s="19"/>
      <c r="N9" s="19"/>
      <c r="O9" s="19"/>
      <c r="P9" s="19"/>
    </row>
    <row r="10" spans="1:16">
      <c r="A10" s="24" t="s">
        <v>213</v>
      </c>
      <c r="B10" s="25">
        <f ca="1">'EF ele_warmte'!B12</f>
        <v>0.21816054609347871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5362.4232128160129</v>
      </c>
      <c r="C12" s="23">
        <f ca="1">C10*C8</f>
        <v>0</v>
      </c>
      <c r="D12" s="23">
        <f>D8*D10</f>
        <v>14727.731619468683</v>
      </c>
      <c r="E12" s="23">
        <f>E10*E8</f>
        <v>879.89011228187815</v>
      </c>
      <c r="F12" s="23">
        <f>F10*F8</f>
        <v>2451.3885934111181</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3562</v>
      </c>
      <c r="C18" s="166" t="s">
        <v>110</v>
      </c>
      <c r="D18" s="228"/>
      <c r="E18" s="15"/>
    </row>
    <row r="19" spans="1:7">
      <c r="A19" s="171" t="s">
        <v>71</v>
      </c>
      <c r="B19" s="37">
        <f>aantalw2001_ander</f>
        <v>0</v>
      </c>
      <c r="C19" s="166" t="s">
        <v>110</v>
      </c>
      <c r="D19" s="229"/>
      <c r="E19" s="15"/>
    </row>
    <row r="20" spans="1:7">
      <c r="A20" s="171" t="s">
        <v>72</v>
      </c>
      <c r="B20" s="37">
        <f>aantalw2001_propaan</f>
        <v>15</v>
      </c>
      <c r="C20" s="167">
        <f>IF(ISERROR(B20/SUM($B$20,$B$21,$B$22)*100),0,B20/SUM($B$20,$B$21,$B$22)*100)</f>
        <v>5.0167224080267561</v>
      </c>
      <c r="D20" s="229"/>
      <c r="E20" s="15"/>
    </row>
    <row r="21" spans="1:7">
      <c r="A21" s="171" t="s">
        <v>73</v>
      </c>
      <c r="B21" s="37">
        <f>aantalw2001_elektriciteit</f>
        <v>277</v>
      </c>
      <c r="C21" s="167">
        <f>IF(ISERROR(B21/SUM($B$20,$B$21,$B$22)*100),0,B21/SUM($B$20,$B$21,$B$22)*100)</f>
        <v>92.642140468227424</v>
      </c>
      <c r="D21" s="229"/>
      <c r="E21" s="15"/>
    </row>
    <row r="22" spans="1:7">
      <c r="A22" s="171" t="s">
        <v>74</v>
      </c>
      <c r="B22" s="37">
        <f>aantalw2001_hout</f>
        <v>7</v>
      </c>
      <c r="C22" s="167">
        <f>IF(ISERROR(B22/SUM($B$20,$B$21,$B$22)*100),0,B22/SUM($B$20,$B$21,$B$22)*100)</f>
        <v>2.3411371237458192</v>
      </c>
      <c r="D22" s="229"/>
      <c r="E22" s="15"/>
    </row>
    <row r="23" spans="1:7">
      <c r="A23" s="171" t="s">
        <v>75</v>
      </c>
      <c r="B23" s="37">
        <f>aantalw2001_niet_gespec</f>
        <v>118</v>
      </c>
      <c r="C23" s="166" t="s">
        <v>110</v>
      </c>
      <c r="D23" s="228"/>
      <c r="E23" s="15"/>
    </row>
    <row r="24" spans="1:7">
      <c r="A24" s="171" t="s">
        <v>76</v>
      </c>
      <c r="B24" s="37">
        <f>aantalw2001_steenkool</f>
        <v>26</v>
      </c>
      <c r="C24" s="166" t="s">
        <v>110</v>
      </c>
      <c r="D24" s="229"/>
      <c r="E24" s="15"/>
    </row>
    <row r="25" spans="1:7">
      <c r="A25" s="171" t="s">
        <v>77</v>
      </c>
      <c r="B25" s="37">
        <f>aantalw2001_stookolie</f>
        <v>1689</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736</v>
      </c>
      <c r="B28" s="37">
        <f>aantalHuishoudens</f>
        <v>6368</v>
      </c>
      <c r="C28" s="36"/>
      <c r="D28" s="228"/>
    </row>
    <row r="29" spans="1:7" s="15" customFormat="1">
      <c r="A29" s="230" t="s">
        <v>737</v>
      </c>
      <c r="B29" s="37">
        <f>SUM(HH_hh_gas_aantal,HH_rest_gas_aantal)</f>
        <v>4983</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4983</v>
      </c>
      <c r="C32" s="167">
        <f>IF(ISERROR(B32/SUM($B$32,$B$34,$B$35,$B$36,$B$38,$B$39)*100),0,B32/SUM($B$32,$B$34,$B$35,$B$36,$B$38,$B$39)*100)</f>
        <v>78.336739506366925</v>
      </c>
      <c r="D32" s="233"/>
      <c r="G32" s="15"/>
    </row>
    <row r="33" spans="1:7">
      <c r="A33" s="171" t="s">
        <v>71</v>
      </c>
      <c r="B33" s="34" t="s">
        <v>110</v>
      </c>
      <c r="C33" s="167"/>
      <c r="D33" s="233"/>
      <c r="G33" s="15"/>
    </row>
    <row r="34" spans="1:7">
      <c r="A34" s="171" t="s">
        <v>72</v>
      </c>
      <c r="B34" s="33">
        <f>IF((($B$28-$B$32-$B$39-$B$77-$B$38)*C20/100)&lt;0,0,($B$28-$B$32-$B$39-$B$77-$B$38)*C20/100)</f>
        <v>48.556856187290975</v>
      </c>
      <c r="C34" s="167">
        <f>IF(ISERROR(B34/SUM($B$32,$B$34,$B$35,$B$36,$B$38,$B$39)*100),0,B34/SUM($B$32,$B$34,$B$35,$B$36,$B$38,$B$39)*100)</f>
        <v>0.76335255757413889</v>
      </c>
      <c r="D34" s="233"/>
      <c r="G34" s="15"/>
    </row>
    <row r="35" spans="1:7">
      <c r="A35" s="171" t="s">
        <v>73</v>
      </c>
      <c r="B35" s="33">
        <f>IF((($B$28-$B$32-$B$39-$B$77-$B$38)*C21/100)&lt;0,0,($B$28-$B$32-$B$39-$B$77-$B$38)*C21/100)</f>
        <v>896.68327759197336</v>
      </c>
      <c r="C35" s="167">
        <f>IF(ISERROR(B35/SUM($B$32,$B$34,$B$35,$B$36,$B$38,$B$39)*100),0,B35/SUM($B$32,$B$34,$B$35,$B$36,$B$38,$B$39)*100)</f>
        <v>14.096577229869098</v>
      </c>
      <c r="D35" s="233"/>
      <c r="G35" s="15"/>
    </row>
    <row r="36" spans="1:7">
      <c r="A36" s="171" t="s">
        <v>74</v>
      </c>
      <c r="B36" s="33">
        <f>IF((($B$28-$B$32-$B$39-$B$77-$B$38)*C22/100)&lt;0,0,($B$28-$B$32-$B$39-$B$77-$B$38)*C22/100)</f>
        <v>22.659866220735786</v>
      </c>
      <c r="C36" s="167">
        <f>IF(ISERROR(B36/SUM($B$32,$B$34,$B$35,$B$36,$B$38,$B$39)*100),0,B36/SUM($B$32,$B$34,$B$35,$B$36,$B$38,$B$39)*100)</f>
        <v>0.35623119353459809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410.09999999999991</v>
      </c>
      <c r="C39" s="167">
        <f>IF(ISERROR(B39/SUM($B$32,$B$34,$B$35,$B$36,$B$38,$B$39)*100),0,B39/SUM($B$32,$B$34,$B$35,$B$36,$B$38,$B$39)*100)</f>
        <v>6.4470995126552406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4983</v>
      </c>
      <c r="C44" s="34" t="s">
        <v>110</v>
      </c>
      <c r="D44" s="174"/>
    </row>
    <row r="45" spans="1:7">
      <c r="A45" s="171" t="s">
        <v>71</v>
      </c>
      <c r="B45" s="33" t="str">
        <f t="shared" si="0"/>
        <v>-</v>
      </c>
      <c r="C45" s="34" t="s">
        <v>110</v>
      </c>
      <c r="D45" s="174"/>
    </row>
    <row r="46" spans="1:7">
      <c r="A46" s="171" t="s">
        <v>72</v>
      </c>
      <c r="B46" s="33">
        <f t="shared" si="0"/>
        <v>48.556856187290975</v>
      </c>
      <c r="C46" s="34" t="s">
        <v>110</v>
      </c>
      <c r="D46" s="174"/>
    </row>
    <row r="47" spans="1:7">
      <c r="A47" s="171" t="s">
        <v>73</v>
      </c>
      <c r="B47" s="33">
        <f t="shared" si="0"/>
        <v>896.68327759197336</v>
      </c>
      <c r="C47" s="34" t="s">
        <v>110</v>
      </c>
      <c r="D47" s="174"/>
    </row>
    <row r="48" spans="1:7">
      <c r="A48" s="171" t="s">
        <v>74</v>
      </c>
      <c r="B48" s="33">
        <f t="shared" si="0"/>
        <v>22.659866220735786</v>
      </c>
      <c r="C48" s="33">
        <f>B48*10</f>
        <v>226.59866220735785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410.09999999999991</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31</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19098.6819</v>
      </c>
      <c r="C5" s="17">
        <f>IF(ISERROR('Eigen informatie GS &amp; warmtenet'!B58),0,'Eigen informatie GS &amp; warmtenet'!B58)</f>
        <v>0</v>
      </c>
      <c r="D5" s="30">
        <f>SUM(D6:D12)</f>
        <v>24234.682174511807</v>
      </c>
      <c r="E5" s="17">
        <f>SUM(E6:E12)</f>
        <v>210.71145855222764</v>
      </c>
      <c r="F5" s="17">
        <f>SUM(F6:F12)</f>
        <v>2927.7389418315051</v>
      </c>
      <c r="G5" s="18"/>
      <c r="H5" s="17"/>
      <c r="I5" s="17"/>
      <c r="J5" s="17">
        <f>SUM(J6:J12)</f>
        <v>0</v>
      </c>
      <c r="K5" s="17"/>
      <c r="L5" s="17"/>
      <c r="M5" s="17"/>
      <c r="N5" s="17">
        <f>SUM(N6:N12)</f>
        <v>2300.0291576952782</v>
      </c>
      <c r="O5" s="17">
        <f>B38*B39*B40</f>
        <v>0</v>
      </c>
      <c r="P5" s="17">
        <f>B46*B47*B48/1000-B46*B47*B48/1000/B49</f>
        <v>76.266666666666666</v>
      </c>
      <c r="R5" s="32"/>
    </row>
    <row r="6" spans="1:18">
      <c r="A6" s="32" t="s">
        <v>53</v>
      </c>
      <c r="B6" s="37">
        <f>B26</f>
        <v>4760.0730000000003</v>
      </c>
      <c r="C6" s="33"/>
      <c r="D6" s="37">
        <f>IF(ISERROR(TER_kantoor_gas_kWh/1000),0,TER_kantoor_gas_kWh/1000)*0.902</f>
        <v>8764.3047159083599</v>
      </c>
      <c r="E6" s="33">
        <f>$C$26*'E Balans VL '!I12/100/3.6*1000000</f>
        <v>13.790629882737294</v>
      </c>
      <c r="F6" s="33">
        <f>$C$26*('E Balans VL '!L12+'E Balans VL '!N12)/100/3.6*1000000</f>
        <v>538.73539106079613</v>
      </c>
      <c r="G6" s="34"/>
      <c r="H6" s="33"/>
      <c r="I6" s="33"/>
      <c r="J6" s="33">
        <f>$C$26*('E Balans VL '!D12+'E Balans VL '!E12)/100/3.6*1000000</f>
        <v>0</v>
      </c>
      <c r="K6" s="33"/>
      <c r="L6" s="33"/>
      <c r="M6" s="33"/>
      <c r="N6" s="33">
        <f>$C$26*'E Balans VL '!Y12/100/3.6*1000000</f>
        <v>47.644823351613468</v>
      </c>
      <c r="O6" s="33"/>
      <c r="P6" s="33"/>
      <c r="R6" s="32"/>
    </row>
    <row r="7" spans="1:18">
      <c r="A7" s="32" t="s">
        <v>52</v>
      </c>
      <c r="B7" s="37">
        <f t="shared" ref="B7:B12" si="0">B27</f>
        <v>2345.0639999999999</v>
      </c>
      <c r="C7" s="33"/>
      <c r="D7" s="37">
        <f>IF(ISERROR(TER_horeca_gas_kWh/1000),0,TER_horeca_gas_kWh/1000)*0.902</f>
        <v>6711.0787253350627</v>
      </c>
      <c r="E7" s="33">
        <f>$C$27*'E Balans VL '!I9/100/3.6*1000000</f>
        <v>98.439234740676241</v>
      </c>
      <c r="F7" s="33">
        <f>$C$27*('E Balans VL '!L9+'E Balans VL '!N9)/100/3.6*1000000</f>
        <v>503.88509046658424</v>
      </c>
      <c r="G7" s="34"/>
      <c r="H7" s="33"/>
      <c r="I7" s="33"/>
      <c r="J7" s="33">
        <f>$C$27*('E Balans VL '!D9+'E Balans VL '!E9)/100/3.6*1000000</f>
        <v>0</v>
      </c>
      <c r="K7" s="33"/>
      <c r="L7" s="33"/>
      <c r="M7" s="33"/>
      <c r="N7" s="33">
        <f>$C$27*'E Balans VL '!Y9/100/3.6*1000000</f>
        <v>0.60430248447133295</v>
      </c>
      <c r="O7" s="33"/>
      <c r="P7" s="33"/>
      <c r="R7" s="32"/>
    </row>
    <row r="8" spans="1:18">
      <c r="A8" s="6" t="s">
        <v>51</v>
      </c>
      <c r="B8" s="37">
        <f t="shared" si="0"/>
        <v>5247.0879999999997</v>
      </c>
      <c r="C8" s="33"/>
      <c r="D8" s="37">
        <f>IF(ISERROR(TER_handel_gas_kWh/1000),0,TER_handel_gas_kWh/1000)*0.902</f>
        <v>1920.1403875821159</v>
      </c>
      <c r="E8" s="33">
        <f>$C$28*'E Balans VL '!I13/100/3.6*1000000</f>
        <v>56.358092147202711</v>
      </c>
      <c r="F8" s="33">
        <f>$C$28*('E Balans VL '!L13+'E Balans VL '!N13)/100/3.6*1000000</f>
        <v>679.27887115947419</v>
      </c>
      <c r="G8" s="34"/>
      <c r="H8" s="33"/>
      <c r="I8" s="33"/>
      <c r="J8" s="33">
        <f>$C$28*('E Balans VL '!D13+'E Balans VL '!E13)/100/3.6*1000000</f>
        <v>0</v>
      </c>
      <c r="K8" s="33"/>
      <c r="L8" s="33"/>
      <c r="M8" s="33"/>
      <c r="N8" s="33">
        <f>$C$28*'E Balans VL '!Y13/100/3.6*1000000</f>
        <v>42.564664359461844</v>
      </c>
      <c r="O8" s="33"/>
      <c r="P8" s="33"/>
      <c r="R8" s="32"/>
    </row>
    <row r="9" spans="1:18">
      <c r="A9" s="32" t="s">
        <v>50</v>
      </c>
      <c r="B9" s="37">
        <f t="shared" si="0"/>
        <v>321.28159999999997</v>
      </c>
      <c r="C9" s="33"/>
      <c r="D9" s="37">
        <f>IF(ISERROR(TER_gezond_gas_kWh/1000),0,TER_gezond_gas_kWh/1000)*0.902</f>
        <v>910.54695037337831</v>
      </c>
      <c r="E9" s="33">
        <f>$C$29*'E Balans VL '!I10/100/3.6*1000000</f>
        <v>0.25576093353717705</v>
      </c>
      <c r="F9" s="33">
        <f>$C$29*('E Balans VL '!L10+'E Balans VL '!N10)/100/3.6*1000000</f>
        <v>39.056421417311242</v>
      </c>
      <c r="G9" s="34"/>
      <c r="H9" s="33"/>
      <c r="I9" s="33"/>
      <c r="J9" s="33">
        <f>$C$29*('E Balans VL '!D10+'E Balans VL '!E10)/100/3.6*1000000</f>
        <v>0</v>
      </c>
      <c r="K9" s="33"/>
      <c r="L9" s="33"/>
      <c r="M9" s="33"/>
      <c r="N9" s="33">
        <f>$C$29*'E Balans VL '!Y10/100/3.6*1000000</f>
        <v>2.5952276468326456</v>
      </c>
      <c r="O9" s="33"/>
      <c r="P9" s="33"/>
      <c r="R9" s="32"/>
    </row>
    <row r="10" spans="1:18">
      <c r="A10" s="32" t="s">
        <v>49</v>
      </c>
      <c r="B10" s="37">
        <f t="shared" si="0"/>
        <v>2696.701</v>
      </c>
      <c r="C10" s="33"/>
      <c r="D10" s="37">
        <f>IF(ISERROR(TER_ander_gas_kWh/1000),0,TER_ander_gas_kWh/1000)*0.902</f>
        <v>960.50847168482062</v>
      </c>
      <c r="E10" s="33">
        <f>$C$30*'E Balans VL '!I14/100/3.6*1000000</f>
        <v>9.2417359935108827</v>
      </c>
      <c r="F10" s="33">
        <f>$C$30*('E Balans VL '!L14+'E Balans VL '!N14)/100/3.6*1000000</f>
        <v>602.33342237962086</v>
      </c>
      <c r="G10" s="34"/>
      <c r="H10" s="33"/>
      <c r="I10" s="33"/>
      <c r="J10" s="33">
        <f>$C$30*('E Balans VL '!D14+'E Balans VL '!E14)/100/3.6*1000000</f>
        <v>0</v>
      </c>
      <c r="K10" s="33"/>
      <c r="L10" s="33"/>
      <c r="M10" s="33"/>
      <c r="N10" s="33">
        <f>$C$30*'E Balans VL '!Y14/100/3.6*1000000</f>
        <v>1899.5709161895963</v>
      </c>
      <c r="O10" s="33"/>
      <c r="P10" s="33"/>
      <c r="R10" s="32"/>
    </row>
    <row r="11" spans="1:18">
      <c r="A11" s="32" t="s">
        <v>54</v>
      </c>
      <c r="B11" s="37">
        <f t="shared" si="0"/>
        <v>129.78530000000001</v>
      </c>
      <c r="C11" s="33"/>
      <c r="D11" s="37">
        <f>IF(ISERROR(TER_onderwijs_gas_kWh/1000),0,TER_onderwijs_gas_kWh/1000)*0.902</f>
        <v>0</v>
      </c>
      <c r="E11" s="33">
        <f>$C$31*'E Balans VL '!I11/100/3.6*1000000</f>
        <v>8.9716580817334593E-2</v>
      </c>
      <c r="F11" s="33">
        <f>$C$31*('E Balans VL '!L11+'E Balans VL '!N11)/100/3.6*1000000</f>
        <v>33.974021532836126</v>
      </c>
      <c r="G11" s="34"/>
      <c r="H11" s="33"/>
      <c r="I11" s="33"/>
      <c r="J11" s="33">
        <f>$C$31*('E Balans VL '!D11+'E Balans VL '!E11)/100/3.6*1000000</f>
        <v>0</v>
      </c>
      <c r="K11" s="33"/>
      <c r="L11" s="33"/>
      <c r="M11" s="33"/>
      <c r="N11" s="33">
        <f>$C$31*'E Balans VL '!Y11/100/3.6*1000000</f>
        <v>0.12919021190046878</v>
      </c>
      <c r="O11" s="33"/>
      <c r="P11" s="33"/>
      <c r="R11" s="32"/>
    </row>
    <row r="12" spans="1:18">
      <c r="A12" s="32" t="s">
        <v>259</v>
      </c>
      <c r="B12" s="37">
        <f t="shared" si="0"/>
        <v>3598.6889999999999</v>
      </c>
      <c r="C12" s="33"/>
      <c r="D12" s="37">
        <f>IF(ISERROR(TER_rest_gas_kWh/1000),0,TER_rest_gas_kWh/1000)*0.902</f>
        <v>4968.1029236280692</v>
      </c>
      <c r="E12" s="33">
        <f>$C$32*'E Balans VL '!I8/100/3.6*1000000</f>
        <v>32.536288273746017</v>
      </c>
      <c r="F12" s="33">
        <f>$C$32*('E Balans VL '!L8+'E Balans VL '!N8)/100/3.6*1000000</f>
        <v>530.47572381488226</v>
      </c>
      <c r="G12" s="34"/>
      <c r="H12" s="33"/>
      <c r="I12" s="33"/>
      <c r="J12" s="33">
        <f>$C$32*('E Balans VL '!D8+'E Balans VL '!E8)/100/3.6*1000000</f>
        <v>0</v>
      </c>
      <c r="K12" s="33"/>
      <c r="L12" s="33"/>
      <c r="M12" s="33"/>
      <c r="N12" s="33">
        <f>$C$32*'E Balans VL '!Y8/100/3.6*1000000</f>
        <v>306.92003345140199</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19098.6819</v>
      </c>
      <c r="C16" s="21">
        <f t="shared" ca="1" si="1"/>
        <v>0</v>
      </c>
      <c r="D16" s="21">
        <f t="shared" ca="1" si="1"/>
        <v>24234.682174511807</v>
      </c>
      <c r="E16" s="21">
        <f t="shared" si="1"/>
        <v>210.71145855222764</v>
      </c>
      <c r="F16" s="21">
        <f t="shared" ca="1" si="1"/>
        <v>2927.7389418315051</v>
      </c>
      <c r="G16" s="21">
        <f t="shared" si="1"/>
        <v>0</v>
      </c>
      <c r="H16" s="21">
        <f t="shared" si="1"/>
        <v>0</v>
      </c>
      <c r="I16" s="21">
        <f t="shared" si="1"/>
        <v>0</v>
      </c>
      <c r="J16" s="21">
        <f t="shared" si="1"/>
        <v>0</v>
      </c>
      <c r="K16" s="21">
        <f t="shared" si="1"/>
        <v>0</v>
      </c>
      <c r="L16" s="21">
        <f t="shared" ca="1" si="1"/>
        <v>0</v>
      </c>
      <c r="M16" s="21">
        <f t="shared" si="1"/>
        <v>0</v>
      </c>
      <c r="N16" s="21">
        <f t="shared" ca="1" si="1"/>
        <v>2300.0291576952782</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0.21816054609347871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4166.5788729696378</v>
      </c>
      <c r="C20" s="23">
        <f t="shared" ref="C20:P20" ca="1" si="2">C16*C18</f>
        <v>0</v>
      </c>
      <c r="D20" s="23">
        <f t="shared" ca="1" si="2"/>
        <v>4895.4057992513854</v>
      </c>
      <c r="E20" s="23">
        <f t="shared" si="2"/>
        <v>47.831501091355676</v>
      </c>
      <c r="F20" s="23">
        <f t="shared" ca="1" si="2"/>
        <v>781.70629746901193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4760.0730000000003</v>
      </c>
      <c r="C26" s="39">
        <f>IF(ISERROR(B26*3.6/1000000/'E Balans VL '!Z12*100),0,B26*3.6/1000000/'E Balans VL '!Z12*100)</f>
        <v>0.10456050664046282</v>
      </c>
      <c r="D26" s="237" t="s">
        <v>691</v>
      </c>
      <c r="F26" s="6"/>
    </row>
    <row r="27" spans="1:18">
      <c r="A27" s="231" t="s">
        <v>52</v>
      </c>
      <c r="B27" s="33">
        <f>IF(ISERROR(TER_horeca_ele_kWh/1000),0,TER_horeca_ele_kWh/1000)</f>
        <v>2345.0639999999999</v>
      </c>
      <c r="C27" s="39">
        <f>IF(ISERROR(B27*3.6/1000000/'E Balans VL '!Z9*100),0,B27*3.6/1000000/'E Balans VL '!Z9*100)</f>
        <v>0.18844926827404632</v>
      </c>
      <c r="D27" s="237" t="s">
        <v>691</v>
      </c>
      <c r="F27" s="6"/>
    </row>
    <row r="28" spans="1:18">
      <c r="A28" s="171" t="s">
        <v>51</v>
      </c>
      <c r="B28" s="33">
        <f>IF(ISERROR(TER_handel_ele_kWh/1000),0,TER_handel_ele_kWh/1000)</f>
        <v>5247.0879999999997</v>
      </c>
      <c r="C28" s="39">
        <f>IF(ISERROR(B28*3.6/1000000/'E Balans VL '!Z13*100),0,B28*3.6/1000000/'E Balans VL '!Z13*100)</f>
        <v>0.15515272646735623</v>
      </c>
      <c r="D28" s="237" t="s">
        <v>691</v>
      </c>
      <c r="F28" s="6"/>
    </row>
    <row r="29" spans="1:18">
      <c r="A29" s="231" t="s">
        <v>50</v>
      </c>
      <c r="B29" s="33">
        <f>IF(ISERROR(TER_gezond_ele_kWh/1000),0,TER_gezond_ele_kWh/1000)</f>
        <v>321.28159999999997</v>
      </c>
      <c r="C29" s="39">
        <f>IF(ISERROR(B29*3.6/1000000/'E Balans VL '!Z10*100),0,B29*3.6/1000000/'E Balans VL '!Z10*100)</f>
        <v>3.6200141560272917E-2</v>
      </c>
      <c r="D29" s="237" t="s">
        <v>691</v>
      </c>
      <c r="F29" s="6"/>
    </row>
    <row r="30" spans="1:18">
      <c r="A30" s="231" t="s">
        <v>49</v>
      </c>
      <c r="B30" s="33">
        <f>IF(ISERROR(TER_ander_ele_kWh/1000),0,TER_ander_ele_kWh/1000)</f>
        <v>2696.701</v>
      </c>
      <c r="C30" s="39">
        <f>IF(ISERROR(B30*3.6/1000000/'E Balans VL '!Z14*100),0,B30*3.6/1000000/'E Balans VL '!Z14*100)</f>
        <v>0.20394688682786555</v>
      </c>
      <c r="D30" s="237" t="s">
        <v>691</v>
      </c>
      <c r="F30" s="6"/>
    </row>
    <row r="31" spans="1:18">
      <c r="A31" s="231" t="s">
        <v>54</v>
      </c>
      <c r="B31" s="33">
        <f>IF(ISERROR(TER_onderwijs_ele_kWh/1000),0,TER_onderwijs_ele_kWh/1000)</f>
        <v>129.78530000000001</v>
      </c>
      <c r="C31" s="39">
        <f>IF(ISERROR(B31*3.6/1000000/'E Balans VL '!Z11*100),0,B31*3.6/1000000/'E Balans VL '!Z11*100)</f>
        <v>2.6940415443602848E-2</v>
      </c>
      <c r="D31" s="237" t="s">
        <v>691</v>
      </c>
    </row>
    <row r="32" spans="1:18">
      <c r="A32" s="231" t="s">
        <v>259</v>
      </c>
      <c r="B32" s="33">
        <f>IF(ISERROR(TER_rest_ele_kWh/1000),0,TER_rest_ele_kWh/1000)</f>
        <v>3598.6889999999999</v>
      </c>
      <c r="C32" s="39">
        <f>IF(ISERROR(B32*3.6/1000000/'E Balans VL '!Z8*100),0,B32*3.6/1000000/'E Balans VL '!Z8*100)</f>
        <v>3.0316837787954003E-2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4</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1682.5751399999999</v>
      </c>
      <c r="C5" s="17">
        <f>IF(ISERROR('Eigen informatie GS &amp; warmtenet'!B59),0,'Eigen informatie GS &amp; warmtenet'!B59)</f>
        <v>0</v>
      </c>
      <c r="D5" s="30">
        <f>SUM(D6:D15)</f>
        <v>1889.0850772527858</v>
      </c>
      <c r="E5" s="17">
        <f>SUM(E6:E15)</f>
        <v>139.13947376283451</v>
      </c>
      <c r="F5" s="17">
        <f>SUM(F6:F15)</f>
        <v>1791.6800619991088</v>
      </c>
      <c r="G5" s="18"/>
      <c r="H5" s="17"/>
      <c r="I5" s="17"/>
      <c r="J5" s="17">
        <f>SUM(J6:J15)</f>
        <v>19.455151115311796</v>
      </c>
      <c r="K5" s="17"/>
      <c r="L5" s="17"/>
      <c r="M5" s="17"/>
      <c r="N5" s="17">
        <f>SUM(N6:N15)</f>
        <v>440.34184900863301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45.0777</v>
      </c>
      <c r="C8" s="33"/>
      <c r="D8" s="37">
        <f>IF( ISERROR(IND_metaal_Gas_kWH/1000),0,IND_metaal_Gas_kWH/1000)*0.902</f>
        <v>0</v>
      </c>
      <c r="E8" s="33">
        <f>C30*'E Balans VL '!I18/100/3.6*1000000</f>
        <v>1.1281370624299714</v>
      </c>
      <c r="F8" s="33">
        <f>C30*'E Balans VL '!L18/100/3.6*1000000+C30*'E Balans VL '!N18/100/3.6*1000000</f>
        <v>14.127575408011392</v>
      </c>
      <c r="G8" s="34"/>
      <c r="H8" s="33"/>
      <c r="I8" s="33"/>
      <c r="J8" s="40">
        <f>C30*'E Balans VL '!D18/100/3.6*1000000+C30*'E Balans VL '!E18/100/3.6*1000000</f>
        <v>0</v>
      </c>
      <c r="K8" s="33"/>
      <c r="L8" s="33"/>
      <c r="M8" s="33"/>
      <c r="N8" s="33">
        <f>C30*'E Balans VL '!Y18/100/3.6*1000000</f>
        <v>1.1324688108328307</v>
      </c>
      <c r="O8" s="33"/>
      <c r="P8" s="33"/>
      <c r="R8" s="32"/>
    </row>
    <row r="9" spans="1:18">
      <c r="A9" s="6" t="s">
        <v>32</v>
      </c>
      <c r="B9" s="37">
        <f t="shared" si="0"/>
        <v>376.59859999999998</v>
      </c>
      <c r="C9" s="33"/>
      <c r="D9" s="37">
        <f>IF( ISERROR(IND_andere_gas_kWh/1000),0,IND_andere_gas_kWh/1000)*0.902</f>
        <v>1216.8511924078155</v>
      </c>
      <c r="E9" s="33">
        <f>C31*'E Balans VL '!I19/100/3.6*1000000</f>
        <v>103.54916878748429</v>
      </c>
      <c r="F9" s="33">
        <f>C31*'E Balans VL '!L19/100/3.6*1000000+C31*'E Balans VL '!N19/100/3.6*1000000</f>
        <v>296.82522966152578</v>
      </c>
      <c r="G9" s="34"/>
      <c r="H9" s="33"/>
      <c r="I9" s="33"/>
      <c r="J9" s="40">
        <f>C31*'E Balans VL '!D19/100/3.6*1000000+C31*'E Balans VL '!E19/100/3.6*1000000</f>
        <v>0</v>
      </c>
      <c r="K9" s="33"/>
      <c r="L9" s="33"/>
      <c r="M9" s="33"/>
      <c r="N9" s="33">
        <f>C31*'E Balans VL '!Y19/100/3.6*1000000</f>
        <v>30.339020531668943</v>
      </c>
      <c r="O9" s="33"/>
      <c r="P9" s="33"/>
      <c r="R9" s="32"/>
    </row>
    <row r="10" spans="1:18">
      <c r="A10" s="6" t="s">
        <v>40</v>
      </c>
      <c r="B10" s="37">
        <f t="shared" si="0"/>
        <v>719.47950000000003</v>
      </c>
      <c r="C10" s="33"/>
      <c r="D10" s="37">
        <f>IF( ISERROR(IND_voed_gas_kWh/1000),0,IND_voed_gas_kWh/1000)*0.902</f>
        <v>350.98424439533522</v>
      </c>
      <c r="E10" s="33">
        <f>C32*'E Balans VL '!I20/100/3.6*1000000</f>
        <v>7.3346971389817899</v>
      </c>
      <c r="F10" s="33">
        <f>C32*'E Balans VL '!L20/100/3.6*1000000+C32*'E Balans VL '!N20/100/3.6*1000000</f>
        <v>1359.0922755901081</v>
      </c>
      <c r="G10" s="34"/>
      <c r="H10" s="33"/>
      <c r="I10" s="33"/>
      <c r="J10" s="40">
        <f>C32*'E Balans VL '!D20/100/3.6*1000000+C32*'E Balans VL '!E20/100/3.6*1000000</f>
        <v>17.219498582582162</v>
      </c>
      <c r="K10" s="33"/>
      <c r="L10" s="33"/>
      <c r="M10" s="33"/>
      <c r="N10" s="33">
        <f>C32*'E Balans VL '!Y20/100/3.6*1000000</f>
        <v>379.2485703761098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8.5286399999999993</v>
      </c>
      <c r="C13" s="33"/>
      <c r="D13" s="37">
        <f>IF( ISERROR(IND_papier_gas_kWh/1000),0,IND_papier_gas_kWh/1000)*0.902</f>
        <v>0</v>
      </c>
      <c r="E13" s="33">
        <f>C35*'E Balans VL '!I23/100/3.6*1000000</f>
        <v>1.7663389109338127E-2</v>
      </c>
      <c r="F13" s="33">
        <f>C35*'E Balans VL '!L23/100/3.6*1000000+C35*'E Balans VL '!N23/100/3.6*1000000</f>
        <v>0.16914121515093727</v>
      </c>
      <c r="G13" s="34"/>
      <c r="H13" s="33"/>
      <c r="I13" s="33"/>
      <c r="J13" s="40">
        <f>C35*'E Balans VL '!D23/100/3.6*1000000+C35*'E Balans VL '!E23/100/3.6*1000000</f>
        <v>0</v>
      </c>
      <c r="K13" s="33"/>
      <c r="L13" s="33"/>
      <c r="M13" s="33"/>
      <c r="N13" s="33">
        <f>C35*'E Balans VL '!Y23/100/3.6*1000000</f>
        <v>0.59150429241062163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532.89069999999992</v>
      </c>
      <c r="C15" s="33"/>
      <c r="D15" s="37">
        <f>IF( ISERROR(IND_rest_gas_kWh/1000),0,IND_rest_gas_kWh/1000)*0.902</f>
        <v>321.24964044963508</v>
      </c>
      <c r="E15" s="33">
        <f>C37*'E Balans VL '!I15/100/3.6*1000000</f>
        <v>27.109807384829107</v>
      </c>
      <c r="F15" s="33">
        <f>C37*'E Balans VL '!L15/100/3.6*1000000+C37*'E Balans VL '!N15/100/3.6*1000000</f>
        <v>121.46584012431276</v>
      </c>
      <c r="G15" s="34"/>
      <c r="H15" s="33"/>
      <c r="I15" s="33"/>
      <c r="J15" s="40">
        <f>C37*'E Balans VL '!D15/100/3.6*1000000+C37*'E Balans VL '!E15/100/3.6*1000000</f>
        <v>2.235652532729635</v>
      </c>
      <c r="K15" s="33"/>
      <c r="L15" s="33"/>
      <c r="M15" s="33"/>
      <c r="N15" s="33">
        <f>C37*'E Balans VL '!Y15/100/3.6*1000000</f>
        <v>29.030284997610813</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1682.5751399999999</v>
      </c>
      <c r="C18" s="21">
        <f>C5+C16</f>
        <v>0</v>
      </c>
      <c r="D18" s="21">
        <f>MAX((D5+D16),0)</f>
        <v>1889.0850772527858</v>
      </c>
      <c r="E18" s="21">
        <f>MAX((E5+E16),0)</f>
        <v>139.13947376283451</v>
      </c>
      <c r="F18" s="21">
        <f>MAX((F5+F16),0)</f>
        <v>1791.6800619991088</v>
      </c>
      <c r="G18" s="21"/>
      <c r="H18" s="21"/>
      <c r="I18" s="21"/>
      <c r="J18" s="21">
        <f>MAX((J5+J16),0)</f>
        <v>19.455151115311796</v>
      </c>
      <c r="K18" s="21"/>
      <c r="L18" s="21">
        <f>MAX((L5+L16),0)</f>
        <v>0</v>
      </c>
      <c r="M18" s="21"/>
      <c r="N18" s="21">
        <f>MAX((N5+N16),0)</f>
        <v>440.34184900863301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0.21816054609347871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367.07151138571135</v>
      </c>
      <c r="C22" s="23">
        <f ca="1">C18*C20</f>
        <v>0</v>
      </c>
      <c r="D22" s="23">
        <f>D18*D20</f>
        <v>381.59518560506274</v>
      </c>
      <c r="E22" s="23">
        <f>E18*E20</f>
        <v>31.584660544163434</v>
      </c>
      <c r="F22" s="23">
        <f>F18*F20</f>
        <v>478.37857655376206</v>
      </c>
      <c r="G22" s="23"/>
      <c r="H22" s="23"/>
      <c r="I22" s="23"/>
      <c r="J22" s="23">
        <f>J18*J20</f>
        <v>6.8871234948203757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45.0777</v>
      </c>
      <c r="C30" s="39">
        <f>IF(ISERROR(B30*3.6/1000000/'E Balans VL '!Z18*100),0,B30*3.6/1000000/'E Balans VL '!Z18*100)</f>
        <v>6.3093757690518967E-3</v>
      </c>
      <c r="D30" s="237" t="s">
        <v>691</v>
      </c>
    </row>
    <row r="31" spans="1:18">
      <c r="A31" s="6" t="s">
        <v>32</v>
      </c>
      <c r="B31" s="37">
        <f>IF( ISERROR(IND_ander_ele_kWh/1000),0,IND_ander_ele_kWh/1000)</f>
        <v>376.59859999999998</v>
      </c>
      <c r="C31" s="39">
        <f>IF(ISERROR(B31*3.6/1000000/'E Balans VL '!Z19*100),0,B31*3.6/1000000/'E Balans VL '!Z19*100)</f>
        <v>1.6483659629027335E-2</v>
      </c>
      <c r="D31" s="237" t="s">
        <v>691</v>
      </c>
    </row>
    <row r="32" spans="1:18">
      <c r="A32" s="171" t="s">
        <v>40</v>
      </c>
      <c r="B32" s="37">
        <f>IF( ISERROR(IND_voed_ele_kWh/1000),0,IND_voed_ele_kWh/1000)</f>
        <v>719.47950000000003</v>
      </c>
      <c r="C32" s="39">
        <f>IF(ISERROR(B32*3.6/1000000/'E Balans VL '!Z20*100),0,B32*3.6/1000000/'E Balans VL '!Z20*100)</f>
        <v>0.17811923146432565</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8.5286399999999993</v>
      </c>
      <c r="C35" s="39">
        <f>IF(ISERROR(B35*3.6/1000000/'E Balans VL '!Z22*100),0,B35*3.6/1000000/'E Balans VL '!Z22*100)</f>
        <v>2.4200800821883728E-4</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532.89069999999992</v>
      </c>
      <c r="C37" s="39">
        <f>IF(ISERROR(B37*3.6/1000000/'E Balans VL '!Z15*100),0,B37*3.6/1000000/'E Balans VL '!Z15*100)</f>
        <v>3.9512933057514292E-3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169.78276</v>
      </c>
      <c r="C5" s="17">
        <f>'Eigen informatie GS &amp; warmtenet'!B60</f>
        <v>0</v>
      </c>
      <c r="D5" s="30">
        <f>IF(ISERROR(SUM(LB_lb_gas_kWh,LB_rest_gas_kWh)/1000),0,SUM(LB_lb_gas_kWh,LB_rest_gas_kWh)/1000)*0.902</f>
        <v>264.66037552639079</v>
      </c>
      <c r="E5" s="17">
        <f>B17*'E Balans VL '!I25/3.6*1000000/100</f>
        <v>1.572599034676599</v>
      </c>
      <c r="F5" s="17">
        <f>B17*('E Balans VL '!L25/3.6*1000000+'E Balans VL '!N25/3.6*1000000)/100</f>
        <v>430.77120570258842</v>
      </c>
      <c r="G5" s="18"/>
      <c r="H5" s="17"/>
      <c r="I5" s="17"/>
      <c r="J5" s="17">
        <f>('E Balans VL '!D25+'E Balans VL '!E25)/3.6*1000000*landbouw!B17/100</f>
        <v>26.029591889131702</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169.78276</v>
      </c>
      <c r="C8" s="21">
        <f>C5+C6</f>
        <v>0</v>
      </c>
      <c r="D8" s="21">
        <f>MAX((D5+D6),0)</f>
        <v>264.66037552639079</v>
      </c>
      <c r="E8" s="21">
        <f>MAX((E5+E6),0)</f>
        <v>1.572599034676599</v>
      </c>
      <c r="F8" s="21">
        <f>MAX((F5+F6),0)</f>
        <v>430.77120570258842</v>
      </c>
      <c r="G8" s="21"/>
      <c r="H8" s="21"/>
      <c r="I8" s="21"/>
      <c r="J8" s="21">
        <f>MAX((J5+J6),0)</f>
        <v>26.029591889131702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0.21816054609347871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37.039899638858031</v>
      </c>
      <c r="C12" s="23">
        <f ca="1">C8*C10</f>
        <v>0</v>
      </c>
      <c r="D12" s="23">
        <f>D8*D10</f>
        <v>53.461395856330945</v>
      </c>
      <c r="E12" s="23">
        <f>E8*E10</f>
        <v>0.356979980871588</v>
      </c>
      <c r="F12" s="23">
        <f>F8*F10</f>
        <v>115.01591192259112</v>
      </c>
      <c r="G12" s="23"/>
      <c r="H12" s="23"/>
      <c r="I12" s="23"/>
      <c r="J12" s="23">
        <f>J8*J10</f>
        <v>9.2144755287526223</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2.4139508455228453E-2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9.3216777577366621</v>
      </c>
      <c r="C26" s="247">
        <f>B26*'GWP N2O_CH4'!B5</f>
        <v>195.75523291246989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1.2705065429260172</v>
      </c>
      <c r="C27" s="247">
        <f>B27*'GWP N2O_CH4'!B5</f>
        <v>26.680637401446361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9.638984017038392E-2</v>
      </c>
      <c r="C28" s="247">
        <f>B28*'GWP N2O_CH4'!B4</f>
        <v>29.880850452819015</v>
      </c>
      <c r="D28" s="50"/>
    </row>
    <row r="29" spans="1:4">
      <c r="A29" s="41" t="s">
        <v>276</v>
      </c>
      <c r="B29" s="247">
        <f>B34*'ha_N2O bodem landbouw'!B4</f>
        <v>1.27761891948475</v>
      </c>
      <c r="C29" s="247">
        <f>B29*'GWP N2O_CH4'!B4</f>
        <v>396.06186504027249</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2.8654741543139491E-4</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7.6008109649781342E-5</v>
      </c>
      <c r="C5" s="438" t="s">
        <v>210</v>
      </c>
      <c r="D5" s="423">
        <f>SUM(D6:D11)</f>
        <v>1.4050179534491798E-4</v>
      </c>
      <c r="E5" s="423">
        <f>SUM(E6:E11)</f>
        <v>1.5753529560142605E-3</v>
      </c>
      <c r="F5" s="436" t="s">
        <v>210</v>
      </c>
      <c r="G5" s="423">
        <f>SUM(G6:G11)</f>
        <v>0.4893388285697865</v>
      </c>
      <c r="H5" s="423">
        <f>SUM(H6:H11)</f>
        <v>8.8330011832915639E-2</v>
      </c>
      <c r="I5" s="438" t="s">
        <v>210</v>
      </c>
      <c r="J5" s="438" t="s">
        <v>210</v>
      </c>
      <c r="K5" s="438" t="s">
        <v>210</v>
      </c>
      <c r="L5" s="438" t="s">
        <v>210</v>
      </c>
      <c r="M5" s="423">
        <f>SUM(M6:M11)</f>
        <v>3.1064789765242226E-2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1.7875256366053797E-5</v>
      </c>
      <c r="C6" s="424"/>
      <c r="D6" s="866">
        <f>vkm_GW_PW*SUMIFS(TableVerdeelsleutelVkm[CNG],TableVerdeelsleutelVkm[Voertuigtype],"Lichte voertuigen")*SUMIFS(TableECFTransport[EnergieConsumptieFactor (PJ per km)],TableECFTransport[Index],CONCATENATE($A6,"_CNG_CNG"))</f>
        <v>3.1192045066060905E-5</v>
      </c>
      <c r="E6" s="866">
        <f>vkm_GW_PW*SUMIFS(TableVerdeelsleutelVkm[LPG],TableVerdeelsleutelVkm[Voertuigtype],"Lichte voertuigen")*SUMIFS(TableECFTransport[EnergieConsumptieFactor (PJ per km)],TableECFTransport[Index],CONCATENATE($A6,"_LPG_LPG"))</f>
        <v>3.021102896080298E-4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7.1001116449405655E-2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1.9101828648326383E-2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4.6991031051430441E-3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9.2043298031257246E-3</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1.7850121182386611E-7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5.3364623321852417E-4</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5.4011184356859992E-6</v>
      </c>
      <c r="C8" s="424"/>
      <c r="D8" s="426">
        <f>vkm_NGW_PW*SUMIFS(TableVerdeelsleutelVkm[CNG],TableVerdeelsleutelVkm[Voertuigtype],"Lichte voertuigen")*SUMIFS(TableECFTransport[EnergieConsumptieFactor (PJ per km)],TableECFTransport[Index],CONCATENATE($A8,"_CNG_CNG"))</f>
        <v>1.6138820479452697E-5</v>
      </c>
      <c r="E8" s="426">
        <f>vkm_NGW_PW*SUMIFS(TableVerdeelsleutelVkm[LPG],TableVerdeelsleutelVkm[Voertuigtype],"Lichte voertuigen")*SUMIFS(TableECFTransport[EnergieConsumptieFactor (PJ per km)],TableECFTransport[Index],CONCATENATE($A8,"_LPG_LPG"))</f>
        <v>1.4792691184743222E-4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3.2632943585641984E-2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9.5427666794957178E-3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2.1830469084426962E-3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1.4984524961262221E-3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3.5995505245627688E-8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8.6877099646539977E-5</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5.2731734848041548E-5</v>
      </c>
      <c r="C10" s="424"/>
      <c r="D10" s="426">
        <f>vkm_SW_PW*SUMIFS(TableVerdeelsleutelVkm[CNG],TableVerdeelsleutelVkm[Voertuigtype],"Lichte voertuigen")*SUMIFS(TableECFTransport[EnergieConsumptieFactor (PJ per km)],TableECFTransport[Index],CONCATENATE($A10,"_CNG_CNG"))</f>
        <v>9.3170929799404371E-5</v>
      </c>
      <c r="E10" s="426">
        <f>vkm_SW_PW*SUMIFS(TableVerdeelsleutelVkm[LPG],TableVerdeelsleutelVkm[Voertuigtype],"Lichte voertuigen")*SUMIFS(TableECFTransport[EnergieConsumptieFactor (PJ per km)],TableECFTransport[Index],CONCATENATE($A10,"_LPG_LPG"))</f>
        <v>1.1253157545587985E-3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0.23780294420052428</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5.9682374910653625E-2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1.5607621060670734E-2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0.13719904203496264</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2.827097722836052E-6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7.9544953581206865E-3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21.113363791605927</v>
      </c>
      <c r="C14" s="21"/>
      <c r="D14" s="21">
        <f t="shared" ref="D14:M14" si="0">((D5)*10^9/3600)+D12</f>
        <v>39.02827648469944</v>
      </c>
      <c r="E14" s="21">
        <f t="shared" si="0"/>
        <v>437.59804333729454</v>
      </c>
      <c r="F14" s="21"/>
      <c r="G14" s="21">
        <f t="shared" si="0"/>
        <v>135927.45238049625</v>
      </c>
      <c r="H14" s="21">
        <f t="shared" si="0"/>
        <v>24536.114398032121</v>
      </c>
      <c r="I14" s="21"/>
      <c r="J14" s="21"/>
      <c r="K14" s="21"/>
      <c r="L14" s="21"/>
      <c r="M14" s="21">
        <f t="shared" si="0"/>
        <v>8629.1082681228399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0.21816054609347871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4.6061029746470297</v>
      </c>
      <c r="C18" s="23"/>
      <c r="D18" s="23">
        <f t="shared" ref="D18:M18" si="1">D14*D16</f>
        <v>7.8837118499092877</v>
      </c>
      <c r="E18" s="23">
        <f t="shared" si="1"/>
        <v>99.334755837565865</v>
      </c>
      <c r="F18" s="23"/>
      <c r="G18" s="23">
        <f t="shared" si="1"/>
        <v>36292.6297855925</v>
      </c>
      <c r="H18" s="23">
        <f t="shared" si="1"/>
        <v>6109.4924851099986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5.9172922535650754E-3</v>
      </c>
      <c r="H50" s="319">
        <f t="shared" si="2"/>
        <v>0</v>
      </c>
      <c r="I50" s="319">
        <f t="shared" si="2"/>
        <v>0</v>
      </c>
      <c r="J50" s="319">
        <f t="shared" si="2"/>
        <v>0</v>
      </c>
      <c r="K50" s="319">
        <f t="shared" si="2"/>
        <v>0</v>
      </c>
      <c r="L50" s="319">
        <f t="shared" si="2"/>
        <v>0</v>
      </c>
      <c r="M50" s="319">
        <f t="shared" si="2"/>
        <v>3.3821441470466409E-4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5.9172922535650754E-3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3.3821441470466409E-4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1643.6922926569655</v>
      </c>
      <c r="H54" s="21">
        <f t="shared" si="3"/>
        <v>0</v>
      </c>
      <c r="I54" s="21">
        <f t="shared" si="3"/>
        <v>0</v>
      </c>
      <c r="J54" s="21">
        <f t="shared" si="3"/>
        <v>0</v>
      </c>
      <c r="K54" s="21">
        <f t="shared" si="3"/>
        <v>0</v>
      </c>
      <c r="L54" s="21">
        <f t="shared" si="3"/>
        <v>0</v>
      </c>
      <c r="M54" s="21">
        <f t="shared" si="3"/>
        <v>93.94844852907336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0.21816054609347871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438.86584213940984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20573.231899999999</v>
      </c>
      <c r="D10" s="991">
        <f ca="1">tertiair!C16</f>
        <v>0</v>
      </c>
      <c r="E10" s="991">
        <f ca="1">tertiair!D16</f>
        <v>24234.682174511807</v>
      </c>
      <c r="F10" s="991">
        <f>tertiair!E16</f>
        <v>210.71145855222764</v>
      </c>
      <c r="G10" s="991">
        <f ca="1">tertiair!F16</f>
        <v>2927.7389418315051</v>
      </c>
      <c r="H10" s="991">
        <f>tertiair!G16</f>
        <v>0</v>
      </c>
      <c r="I10" s="991">
        <f>tertiair!H16</f>
        <v>0</v>
      </c>
      <c r="J10" s="991">
        <f>tertiair!I16</f>
        <v>0</v>
      </c>
      <c r="K10" s="991">
        <f>tertiair!J16</f>
        <v>0</v>
      </c>
      <c r="L10" s="991">
        <f>tertiair!K16</f>
        <v>0</v>
      </c>
      <c r="M10" s="991">
        <f ca="1">tertiair!L16</f>
        <v>0</v>
      </c>
      <c r="N10" s="991">
        <f>tertiair!M16</f>
        <v>0</v>
      </c>
      <c r="O10" s="991">
        <f ca="1">tertiair!N16</f>
        <v>2300.0291576952782</v>
      </c>
      <c r="P10" s="991">
        <f>tertiair!O16</f>
        <v>0</v>
      </c>
      <c r="Q10" s="992">
        <f>tertiair!P16</f>
        <v>76.266666666666666</v>
      </c>
      <c r="R10" s="675">
        <f ca="1">SUM(C10:Q10)</f>
        <v>50322.660299257492</v>
      </c>
      <c r="S10" s="67"/>
    </row>
    <row r="11" spans="1:19" s="448" customFormat="1">
      <c r="A11" s="784" t="s">
        <v>224</v>
      </c>
      <c r="B11" s="789"/>
      <c r="C11" s="991">
        <f>huishoudens!B8</f>
        <v>24580.169553289852</v>
      </c>
      <c r="D11" s="991">
        <f>huishoudens!C8</f>
        <v>0</v>
      </c>
      <c r="E11" s="991">
        <f>huishoudens!D8</f>
        <v>72909.562472617239</v>
      </c>
      <c r="F11" s="991">
        <f>huishoudens!E8</f>
        <v>3876.1678955148814</v>
      </c>
      <c r="G11" s="991">
        <f>huishoudens!F8</f>
        <v>9181.2306869330259</v>
      </c>
      <c r="H11" s="991">
        <f>huishoudens!G8</f>
        <v>0</v>
      </c>
      <c r="I11" s="991">
        <f>huishoudens!H8</f>
        <v>0</v>
      </c>
      <c r="J11" s="991">
        <f>huishoudens!I8</f>
        <v>0</v>
      </c>
      <c r="K11" s="991">
        <f>huishoudens!J8</f>
        <v>0</v>
      </c>
      <c r="L11" s="991">
        <f>huishoudens!K8</f>
        <v>0</v>
      </c>
      <c r="M11" s="991">
        <f>huishoudens!L8</f>
        <v>0</v>
      </c>
      <c r="N11" s="991">
        <f>huishoudens!M8</f>
        <v>0</v>
      </c>
      <c r="O11" s="991">
        <f>huishoudens!N8</f>
        <v>1304.4241390073516</v>
      </c>
      <c r="P11" s="991">
        <f>huishoudens!O8</f>
        <v>48.463333333333338</v>
      </c>
      <c r="Q11" s="992">
        <f>huishoudens!P8</f>
        <v>133.46666666666667</v>
      </c>
      <c r="R11" s="675">
        <f>SUM(C11:Q11)</f>
        <v>112033.48474736234</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1682.5751399999999</v>
      </c>
      <c r="D13" s="991">
        <f>industrie!C18</f>
        <v>0</v>
      </c>
      <c r="E13" s="991">
        <f>industrie!D18</f>
        <v>1889.0850772527858</v>
      </c>
      <c r="F13" s="991">
        <f>industrie!E18</f>
        <v>139.13947376283451</v>
      </c>
      <c r="G13" s="991">
        <f>industrie!F18</f>
        <v>1791.6800619991088</v>
      </c>
      <c r="H13" s="991">
        <f>industrie!G18</f>
        <v>0</v>
      </c>
      <c r="I13" s="991">
        <f>industrie!H18</f>
        <v>0</v>
      </c>
      <c r="J13" s="991">
        <f>industrie!I18</f>
        <v>0</v>
      </c>
      <c r="K13" s="991">
        <f>industrie!J18</f>
        <v>19.455151115311796</v>
      </c>
      <c r="L13" s="991">
        <f>industrie!K18</f>
        <v>0</v>
      </c>
      <c r="M13" s="991">
        <f>industrie!L18</f>
        <v>0</v>
      </c>
      <c r="N13" s="991">
        <f>industrie!M18</f>
        <v>0</v>
      </c>
      <c r="O13" s="991">
        <f>industrie!N18</f>
        <v>440.34184900863301</v>
      </c>
      <c r="P13" s="991">
        <f>industrie!O18</f>
        <v>0</v>
      </c>
      <c r="Q13" s="992">
        <f>industrie!P18</f>
        <v>0</v>
      </c>
      <c r="R13" s="675">
        <f>SUM(C13:Q13)</f>
        <v>5962.2767531386744</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46835.976593289852</v>
      </c>
      <c r="D16" s="707">
        <f t="shared" ref="D16:R16" ca="1" si="0">SUM(D9:D15)</f>
        <v>0</v>
      </c>
      <c r="E16" s="707">
        <f t="shared" ca="1" si="0"/>
        <v>99033.329724381838</v>
      </c>
      <c r="F16" s="707">
        <f t="shared" si="0"/>
        <v>4226.0188278299438</v>
      </c>
      <c r="G16" s="707">
        <f t="shared" ca="1" si="0"/>
        <v>13900.649690763639</v>
      </c>
      <c r="H16" s="707">
        <f t="shared" si="0"/>
        <v>0</v>
      </c>
      <c r="I16" s="707">
        <f t="shared" si="0"/>
        <v>0</v>
      </c>
      <c r="J16" s="707">
        <f t="shared" si="0"/>
        <v>0</v>
      </c>
      <c r="K16" s="707">
        <f t="shared" si="0"/>
        <v>19.455151115311796</v>
      </c>
      <c r="L16" s="707">
        <f t="shared" si="0"/>
        <v>0</v>
      </c>
      <c r="M16" s="707">
        <f t="shared" ca="1" si="0"/>
        <v>0</v>
      </c>
      <c r="N16" s="707">
        <f t="shared" si="0"/>
        <v>0</v>
      </c>
      <c r="O16" s="707">
        <f t="shared" ca="1" si="0"/>
        <v>4044.7951457112626</v>
      </c>
      <c r="P16" s="707">
        <f t="shared" si="0"/>
        <v>48.463333333333338</v>
      </c>
      <c r="Q16" s="707">
        <f t="shared" si="0"/>
        <v>209.73333333333335</v>
      </c>
      <c r="R16" s="707">
        <f t="shared" ca="1" si="0"/>
        <v>168318.42179975848</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1643.6922926569655</v>
      </c>
      <c r="I19" s="991">
        <f>transport!H54</f>
        <v>0</v>
      </c>
      <c r="J19" s="991">
        <f>transport!I54</f>
        <v>0</v>
      </c>
      <c r="K19" s="991">
        <f>transport!J54</f>
        <v>0</v>
      </c>
      <c r="L19" s="991">
        <f>transport!K54</f>
        <v>0</v>
      </c>
      <c r="M19" s="991">
        <f>transport!L54</f>
        <v>0</v>
      </c>
      <c r="N19" s="991">
        <f>transport!M54</f>
        <v>93.94844852907336</v>
      </c>
      <c r="O19" s="991">
        <f>transport!N54</f>
        <v>0</v>
      </c>
      <c r="P19" s="991">
        <f>transport!O54</f>
        <v>0</v>
      </c>
      <c r="Q19" s="992">
        <f>transport!P54</f>
        <v>0</v>
      </c>
      <c r="R19" s="675">
        <f>SUM(C19:Q19)</f>
        <v>1737.6407411860389</v>
      </c>
      <c r="S19" s="67"/>
    </row>
    <row r="20" spans="1:19" s="448" customFormat="1">
      <c r="A20" s="784" t="s">
        <v>306</v>
      </c>
      <c r="B20" s="789"/>
      <c r="C20" s="991">
        <f>transport!B14</f>
        <v>21.113363791605927</v>
      </c>
      <c r="D20" s="991">
        <f>transport!C14</f>
        <v>0</v>
      </c>
      <c r="E20" s="991">
        <f>transport!D14</f>
        <v>39.02827648469944</v>
      </c>
      <c r="F20" s="991">
        <f>transport!E14</f>
        <v>437.59804333729454</v>
      </c>
      <c r="G20" s="991">
        <f>transport!F14</f>
        <v>0</v>
      </c>
      <c r="H20" s="991">
        <f>transport!G14</f>
        <v>135927.45238049625</v>
      </c>
      <c r="I20" s="991">
        <f>transport!H14</f>
        <v>24536.114398032121</v>
      </c>
      <c r="J20" s="991">
        <f>transport!I14</f>
        <v>0</v>
      </c>
      <c r="K20" s="991">
        <f>transport!J14</f>
        <v>0</v>
      </c>
      <c r="L20" s="991">
        <f>transport!K14</f>
        <v>0</v>
      </c>
      <c r="M20" s="991">
        <f>transport!L14</f>
        <v>0</v>
      </c>
      <c r="N20" s="991">
        <f>transport!M14</f>
        <v>8629.1082681228399</v>
      </c>
      <c r="O20" s="991">
        <f>transport!N14</f>
        <v>0</v>
      </c>
      <c r="P20" s="991">
        <f>transport!O14</f>
        <v>0</v>
      </c>
      <c r="Q20" s="992">
        <f>transport!P14</f>
        <v>0</v>
      </c>
      <c r="R20" s="675">
        <f>SUM(C20:Q20)</f>
        <v>169590.41473026481</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21.113363791605927</v>
      </c>
      <c r="D22" s="787">
        <f t="shared" ref="D22:R22" si="1">SUM(D18:D21)</f>
        <v>0</v>
      </c>
      <c r="E22" s="787">
        <f t="shared" si="1"/>
        <v>39.02827648469944</v>
      </c>
      <c r="F22" s="787">
        <f t="shared" si="1"/>
        <v>437.59804333729454</v>
      </c>
      <c r="G22" s="787">
        <f t="shared" si="1"/>
        <v>0</v>
      </c>
      <c r="H22" s="787">
        <f t="shared" si="1"/>
        <v>137571.14467315321</v>
      </c>
      <c r="I22" s="787">
        <f t="shared" si="1"/>
        <v>24536.114398032121</v>
      </c>
      <c r="J22" s="787">
        <f t="shared" si="1"/>
        <v>0</v>
      </c>
      <c r="K22" s="787">
        <f t="shared" si="1"/>
        <v>0</v>
      </c>
      <c r="L22" s="787">
        <f t="shared" si="1"/>
        <v>0</v>
      </c>
      <c r="M22" s="787">
        <f t="shared" si="1"/>
        <v>0</v>
      </c>
      <c r="N22" s="787">
        <f t="shared" si="1"/>
        <v>8723.056716651914</v>
      </c>
      <c r="O22" s="787">
        <f t="shared" si="1"/>
        <v>0</v>
      </c>
      <c r="P22" s="787">
        <f t="shared" si="1"/>
        <v>0</v>
      </c>
      <c r="Q22" s="787">
        <f t="shared" si="1"/>
        <v>0</v>
      </c>
      <c r="R22" s="787">
        <f t="shared" si="1"/>
        <v>171328.05547145085</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169.78276</v>
      </c>
      <c r="D24" s="991">
        <f>+landbouw!C8</f>
        <v>0</v>
      </c>
      <c r="E24" s="991">
        <f>+landbouw!D8</f>
        <v>264.66037552639079</v>
      </c>
      <c r="F24" s="991">
        <f>+landbouw!E8</f>
        <v>1.572599034676599</v>
      </c>
      <c r="G24" s="991">
        <f>+landbouw!F8</f>
        <v>430.77120570258842</v>
      </c>
      <c r="H24" s="991">
        <f>+landbouw!G8</f>
        <v>0</v>
      </c>
      <c r="I24" s="991">
        <f>+landbouw!H8</f>
        <v>0</v>
      </c>
      <c r="J24" s="991">
        <f>+landbouw!I8</f>
        <v>0</v>
      </c>
      <c r="K24" s="991">
        <f>+landbouw!J8</f>
        <v>26.029591889131702</v>
      </c>
      <c r="L24" s="991">
        <f>+landbouw!K8</f>
        <v>0</v>
      </c>
      <c r="M24" s="991">
        <f>+landbouw!L8</f>
        <v>0</v>
      </c>
      <c r="N24" s="991">
        <f>+landbouw!M8</f>
        <v>0</v>
      </c>
      <c r="O24" s="991">
        <f>+landbouw!N8</f>
        <v>0</v>
      </c>
      <c r="P24" s="991">
        <f>+landbouw!O8</f>
        <v>0</v>
      </c>
      <c r="Q24" s="992">
        <f>+landbouw!P8</f>
        <v>0</v>
      </c>
      <c r="R24" s="675">
        <f>SUM(C24:Q24)</f>
        <v>892.81653215278754</v>
      </c>
      <c r="S24" s="67"/>
    </row>
    <row r="25" spans="1:19" s="448" customFormat="1" ht="15" thickBot="1">
      <c r="A25" s="806" t="s">
        <v>849</v>
      </c>
      <c r="B25" s="994"/>
      <c r="C25" s="995">
        <f>IF(Onbekend_ele_kWh="---",0,Onbekend_ele_kWh)/1000+IF(REST_rest_ele_kWh="---",0,REST_rest_ele_kWh)/1000</f>
        <v>1265.9469999999999</v>
      </c>
      <c r="D25" s="995"/>
      <c r="E25" s="995">
        <f>IF(onbekend_gas_kWh="---",0,onbekend_gas_kWh)/1000+IF(REST_rest_gas_kWh="---",0,REST_rest_gas_kWh)/1000</f>
        <v>3554.3055549277901</v>
      </c>
      <c r="F25" s="995"/>
      <c r="G25" s="995"/>
      <c r="H25" s="995"/>
      <c r="I25" s="995"/>
      <c r="J25" s="995"/>
      <c r="K25" s="995"/>
      <c r="L25" s="995"/>
      <c r="M25" s="995"/>
      <c r="N25" s="995"/>
      <c r="O25" s="995"/>
      <c r="P25" s="995"/>
      <c r="Q25" s="996"/>
      <c r="R25" s="675">
        <f>SUM(C25:Q25)</f>
        <v>4820.2525549277898</v>
      </c>
      <c r="S25" s="67"/>
    </row>
    <row r="26" spans="1:19" s="448" customFormat="1" ht="15.75" thickBot="1">
      <c r="A26" s="680" t="s">
        <v>850</v>
      </c>
      <c r="B26" s="792"/>
      <c r="C26" s="787">
        <f>SUM(C24:C25)</f>
        <v>1435.7297599999999</v>
      </c>
      <c r="D26" s="787">
        <f t="shared" ref="D26:R26" si="2">SUM(D24:D25)</f>
        <v>0</v>
      </c>
      <c r="E26" s="787">
        <f t="shared" si="2"/>
        <v>3818.965930454181</v>
      </c>
      <c r="F26" s="787">
        <f t="shared" si="2"/>
        <v>1.572599034676599</v>
      </c>
      <c r="G26" s="787">
        <f t="shared" si="2"/>
        <v>430.77120570258842</v>
      </c>
      <c r="H26" s="787">
        <f t="shared" si="2"/>
        <v>0</v>
      </c>
      <c r="I26" s="787">
        <f t="shared" si="2"/>
        <v>0</v>
      </c>
      <c r="J26" s="787">
        <f t="shared" si="2"/>
        <v>0</v>
      </c>
      <c r="K26" s="787">
        <f t="shared" si="2"/>
        <v>26.029591889131702</v>
      </c>
      <c r="L26" s="787">
        <f t="shared" si="2"/>
        <v>0</v>
      </c>
      <c r="M26" s="787">
        <f t="shared" si="2"/>
        <v>0</v>
      </c>
      <c r="N26" s="787">
        <f t="shared" si="2"/>
        <v>0</v>
      </c>
      <c r="O26" s="787">
        <f t="shared" si="2"/>
        <v>0</v>
      </c>
      <c r="P26" s="787">
        <f t="shared" si="2"/>
        <v>0</v>
      </c>
      <c r="Q26" s="787">
        <f t="shared" si="2"/>
        <v>0</v>
      </c>
      <c r="R26" s="787">
        <f t="shared" si="2"/>
        <v>5713.0690870805774</v>
      </c>
      <c r="S26" s="67"/>
    </row>
    <row r="27" spans="1:19" s="448" customFormat="1" ht="17.25" thickTop="1" thickBot="1">
      <c r="A27" s="681" t="s">
        <v>115</v>
      </c>
      <c r="B27" s="780"/>
      <c r="C27" s="682">
        <f ca="1">C22+C16+C26</f>
        <v>48292.81971708146</v>
      </c>
      <c r="D27" s="682">
        <f t="shared" ref="D27:R27" ca="1" si="3">D22+D16+D26</f>
        <v>0</v>
      </c>
      <c r="E27" s="682">
        <f t="shared" ca="1" si="3"/>
        <v>102891.32393132072</v>
      </c>
      <c r="F27" s="682">
        <f t="shared" si="3"/>
        <v>4665.1894702019144</v>
      </c>
      <c r="G27" s="682">
        <f t="shared" ca="1" si="3"/>
        <v>14331.420896466228</v>
      </c>
      <c r="H27" s="682">
        <f t="shared" si="3"/>
        <v>137571.14467315321</v>
      </c>
      <c r="I27" s="682">
        <f t="shared" si="3"/>
        <v>24536.114398032121</v>
      </c>
      <c r="J27" s="682">
        <f t="shared" si="3"/>
        <v>0</v>
      </c>
      <c r="K27" s="682">
        <f t="shared" si="3"/>
        <v>45.484743004443501</v>
      </c>
      <c r="L27" s="682">
        <f t="shared" si="3"/>
        <v>0</v>
      </c>
      <c r="M27" s="682">
        <f t="shared" ca="1" si="3"/>
        <v>0</v>
      </c>
      <c r="N27" s="682">
        <f t="shared" si="3"/>
        <v>8723.056716651914</v>
      </c>
      <c r="O27" s="682">
        <f t="shared" ca="1" si="3"/>
        <v>4044.7951457112626</v>
      </c>
      <c r="P27" s="682">
        <f t="shared" si="3"/>
        <v>48.463333333333338</v>
      </c>
      <c r="Q27" s="682">
        <f t="shared" si="3"/>
        <v>209.73333333333335</v>
      </c>
      <c r="R27" s="682">
        <f t="shared" ca="1" si="3"/>
        <v>345359.54635828995</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4488.2675062117769</v>
      </c>
      <c r="D40" s="991">
        <f ca="1">tertiair!C20</f>
        <v>0</v>
      </c>
      <c r="E40" s="991">
        <f ca="1">tertiair!D20</f>
        <v>4895.4057992513854</v>
      </c>
      <c r="F40" s="991">
        <f>tertiair!E20</f>
        <v>47.831501091355676</v>
      </c>
      <c r="G40" s="991">
        <f ca="1">tertiair!F20</f>
        <v>781.70629746901193</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10213.21110402353</v>
      </c>
    </row>
    <row r="41" spans="1:18">
      <c r="A41" s="797" t="s">
        <v>224</v>
      </c>
      <c r="B41" s="804"/>
      <c r="C41" s="991">
        <f ca="1">huishoudens!B12</f>
        <v>5362.4232128160129</v>
      </c>
      <c r="D41" s="991">
        <f ca="1">huishoudens!C12</f>
        <v>0</v>
      </c>
      <c r="E41" s="991">
        <f>huishoudens!D12</f>
        <v>14727.731619468683</v>
      </c>
      <c r="F41" s="991">
        <f>huishoudens!E12</f>
        <v>879.89011228187815</v>
      </c>
      <c r="G41" s="991">
        <f>huishoudens!F12</f>
        <v>2451.3885934111181</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23421.433537977689</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367.07151138571135</v>
      </c>
      <c r="D43" s="991">
        <f ca="1">industrie!C22</f>
        <v>0</v>
      </c>
      <c r="E43" s="991">
        <f>industrie!D22</f>
        <v>381.59518560506274</v>
      </c>
      <c r="F43" s="991">
        <f>industrie!E22</f>
        <v>31.584660544163434</v>
      </c>
      <c r="G43" s="991">
        <f>industrie!F22</f>
        <v>478.37857655376206</v>
      </c>
      <c r="H43" s="991">
        <f>industrie!G22</f>
        <v>0</v>
      </c>
      <c r="I43" s="991">
        <f>industrie!H22</f>
        <v>0</v>
      </c>
      <c r="J43" s="991">
        <f>industrie!I22</f>
        <v>0</v>
      </c>
      <c r="K43" s="991">
        <f>industrie!J22</f>
        <v>6.8871234948203757</v>
      </c>
      <c r="L43" s="991">
        <f>industrie!K22</f>
        <v>0</v>
      </c>
      <c r="M43" s="991">
        <f>industrie!L22</f>
        <v>0</v>
      </c>
      <c r="N43" s="991">
        <f>industrie!M22</f>
        <v>0</v>
      </c>
      <c r="O43" s="991">
        <f>industrie!N22</f>
        <v>0</v>
      </c>
      <c r="P43" s="991">
        <f>industrie!O22</f>
        <v>0</v>
      </c>
      <c r="Q43" s="749">
        <f>industrie!P22</f>
        <v>0</v>
      </c>
      <c r="R43" s="824">
        <f t="shared" ca="1" si="4"/>
        <v>1265.5170575835198</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10217.7622304135</v>
      </c>
      <c r="D46" s="707">
        <f t="shared" ref="D46:Q46" ca="1" si="5">SUM(D39:D45)</f>
        <v>0</v>
      </c>
      <c r="E46" s="707">
        <f t="shared" ca="1" si="5"/>
        <v>20004.732604325131</v>
      </c>
      <c r="F46" s="707">
        <f t="shared" si="5"/>
        <v>959.30627391739722</v>
      </c>
      <c r="G46" s="707">
        <f t="shared" ca="1" si="5"/>
        <v>3711.4734674338924</v>
      </c>
      <c r="H46" s="707">
        <f t="shared" si="5"/>
        <v>0</v>
      </c>
      <c r="I46" s="707">
        <f t="shared" si="5"/>
        <v>0</v>
      </c>
      <c r="J46" s="707">
        <f t="shared" si="5"/>
        <v>0</v>
      </c>
      <c r="K46" s="707">
        <f t="shared" si="5"/>
        <v>6.8871234948203757</v>
      </c>
      <c r="L46" s="707">
        <f t="shared" si="5"/>
        <v>0</v>
      </c>
      <c r="M46" s="707">
        <f t="shared" ca="1" si="5"/>
        <v>0</v>
      </c>
      <c r="N46" s="707">
        <f t="shared" si="5"/>
        <v>0</v>
      </c>
      <c r="O46" s="707">
        <f t="shared" ca="1" si="5"/>
        <v>0</v>
      </c>
      <c r="P46" s="707">
        <f t="shared" si="5"/>
        <v>0</v>
      </c>
      <c r="Q46" s="707">
        <f t="shared" si="5"/>
        <v>0</v>
      </c>
      <c r="R46" s="707">
        <f ca="1">SUM(R39:R45)</f>
        <v>34900.161699584743</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438.86584213940984</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438.86584213940984</v>
      </c>
    </row>
    <row r="50" spans="1:18">
      <c r="A50" s="800" t="s">
        <v>306</v>
      </c>
      <c r="B50" s="810"/>
      <c r="C50" s="678">
        <f ca="1">transport!B18</f>
        <v>4.6061029746470297</v>
      </c>
      <c r="D50" s="678">
        <f>transport!C18</f>
        <v>0</v>
      </c>
      <c r="E50" s="678">
        <f>transport!D18</f>
        <v>7.8837118499092877</v>
      </c>
      <c r="F50" s="678">
        <f>transport!E18</f>
        <v>99.334755837565865</v>
      </c>
      <c r="G50" s="678">
        <f>transport!F18</f>
        <v>0</v>
      </c>
      <c r="H50" s="678">
        <f>transport!G18</f>
        <v>36292.6297855925</v>
      </c>
      <c r="I50" s="678">
        <f>transport!H18</f>
        <v>6109.4924851099986</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42513.946841364625</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4.6061029746470297</v>
      </c>
      <c r="D52" s="707">
        <f t="shared" ref="D52:Q52" ca="1" si="6">SUM(D48:D51)</f>
        <v>0</v>
      </c>
      <c r="E52" s="707">
        <f t="shared" si="6"/>
        <v>7.8837118499092877</v>
      </c>
      <c r="F52" s="707">
        <f t="shared" si="6"/>
        <v>99.334755837565865</v>
      </c>
      <c r="G52" s="707">
        <f t="shared" si="6"/>
        <v>0</v>
      </c>
      <c r="H52" s="707">
        <f t="shared" si="6"/>
        <v>36731.495627731907</v>
      </c>
      <c r="I52" s="707">
        <f t="shared" si="6"/>
        <v>6109.4924851099986</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42952.812683504031</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37.039899638858031</v>
      </c>
      <c r="D54" s="678">
        <f ca="1">+landbouw!C12</f>
        <v>0</v>
      </c>
      <c r="E54" s="678">
        <f>+landbouw!D12</f>
        <v>53.461395856330945</v>
      </c>
      <c r="F54" s="678">
        <f>+landbouw!E12</f>
        <v>0.356979980871588</v>
      </c>
      <c r="G54" s="678">
        <f>+landbouw!F12</f>
        <v>115.01591192259112</v>
      </c>
      <c r="H54" s="678">
        <f>+landbouw!G12</f>
        <v>0</v>
      </c>
      <c r="I54" s="678">
        <f>+landbouw!H12</f>
        <v>0</v>
      </c>
      <c r="J54" s="678">
        <f>+landbouw!I12</f>
        <v>0</v>
      </c>
      <c r="K54" s="678">
        <f>+landbouw!J12</f>
        <v>9.2144755287526223</v>
      </c>
      <c r="L54" s="678">
        <f>+landbouw!K12</f>
        <v>0</v>
      </c>
      <c r="M54" s="678">
        <f>+landbouw!L12</f>
        <v>0</v>
      </c>
      <c r="N54" s="678">
        <f>+landbouw!M12</f>
        <v>0</v>
      </c>
      <c r="O54" s="678">
        <f>+landbouw!N12</f>
        <v>0</v>
      </c>
      <c r="P54" s="678">
        <f>+landbouw!O12</f>
        <v>0</v>
      </c>
      <c r="Q54" s="679">
        <f>+landbouw!P12</f>
        <v>0</v>
      </c>
      <c r="R54" s="706">
        <f ca="1">SUM(C54:Q54)</f>
        <v>215.08866292740427</v>
      </c>
    </row>
    <row r="55" spans="1:18" ht="15" thickBot="1">
      <c r="A55" s="800" t="s">
        <v>849</v>
      </c>
      <c r="B55" s="810"/>
      <c r="C55" s="678">
        <f ca="1">C25*'EF ele_warmte'!B12</f>
        <v>276.17968884540107</v>
      </c>
      <c r="D55" s="678"/>
      <c r="E55" s="678">
        <f>E25*EF_CO2_aardgas</f>
        <v>717.96972209541366</v>
      </c>
      <c r="F55" s="678"/>
      <c r="G55" s="678"/>
      <c r="H55" s="678"/>
      <c r="I55" s="678"/>
      <c r="J55" s="678"/>
      <c r="K55" s="678"/>
      <c r="L55" s="678"/>
      <c r="M55" s="678"/>
      <c r="N55" s="678"/>
      <c r="O55" s="678"/>
      <c r="P55" s="678"/>
      <c r="Q55" s="679"/>
      <c r="R55" s="706">
        <f ca="1">SUM(C55:Q55)</f>
        <v>994.14941094081473</v>
      </c>
    </row>
    <row r="56" spans="1:18" ht="15.75" thickBot="1">
      <c r="A56" s="798" t="s">
        <v>850</v>
      </c>
      <c r="B56" s="811"/>
      <c r="C56" s="707">
        <f ca="1">SUM(C54:C55)</f>
        <v>313.21958848425913</v>
      </c>
      <c r="D56" s="707">
        <f t="shared" ref="D56:Q56" ca="1" si="7">SUM(D54:D55)</f>
        <v>0</v>
      </c>
      <c r="E56" s="707">
        <f t="shared" si="7"/>
        <v>771.43111795174457</v>
      </c>
      <c r="F56" s="707">
        <f t="shared" si="7"/>
        <v>0.356979980871588</v>
      </c>
      <c r="G56" s="707">
        <f t="shared" si="7"/>
        <v>115.01591192259112</v>
      </c>
      <c r="H56" s="707">
        <f t="shared" si="7"/>
        <v>0</v>
      </c>
      <c r="I56" s="707">
        <f t="shared" si="7"/>
        <v>0</v>
      </c>
      <c r="J56" s="707">
        <f t="shared" si="7"/>
        <v>0</v>
      </c>
      <c r="K56" s="707">
        <f t="shared" si="7"/>
        <v>9.2144755287526223</v>
      </c>
      <c r="L56" s="707">
        <f t="shared" si="7"/>
        <v>0</v>
      </c>
      <c r="M56" s="707">
        <f t="shared" si="7"/>
        <v>0</v>
      </c>
      <c r="N56" s="707">
        <f t="shared" si="7"/>
        <v>0</v>
      </c>
      <c r="O56" s="707">
        <f t="shared" si="7"/>
        <v>0</v>
      </c>
      <c r="P56" s="707">
        <f t="shared" si="7"/>
        <v>0</v>
      </c>
      <c r="Q56" s="708">
        <f t="shared" si="7"/>
        <v>0</v>
      </c>
      <c r="R56" s="709">
        <f ca="1">SUM(R54:R55)</f>
        <v>1209.2380738682191</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10535.587921872406</v>
      </c>
      <c r="D61" s="715">
        <f t="shared" ref="D61:Q61" ca="1" si="8">D46+D52+D56</f>
        <v>0</v>
      </c>
      <c r="E61" s="715">
        <f t="shared" ca="1" si="8"/>
        <v>20784.047434126787</v>
      </c>
      <c r="F61" s="715">
        <f t="shared" si="8"/>
        <v>1058.9980097358346</v>
      </c>
      <c r="G61" s="715">
        <f t="shared" ca="1" si="8"/>
        <v>3826.4893793564834</v>
      </c>
      <c r="H61" s="715">
        <f t="shared" si="8"/>
        <v>36731.495627731907</v>
      </c>
      <c r="I61" s="715">
        <f t="shared" si="8"/>
        <v>6109.4924851099986</v>
      </c>
      <c r="J61" s="715">
        <f t="shared" si="8"/>
        <v>0</v>
      </c>
      <c r="K61" s="715">
        <f t="shared" si="8"/>
        <v>16.101599023572998</v>
      </c>
      <c r="L61" s="715">
        <f t="shared" si="8"/>
        <v>0</v>
      </c>
      <c r="M61" s="715">
        <f t="shared" ca="1" si="8"/>
        <v>0</v>
      </c>
      <c r="N61" s="715">
        <f t="shared" si="8"/>
        <v>0</v>
      </c>
      <c r="O61" s="715">
        <f t="shared" ca="1" si="8"/>
        <v>0</v>
      </c>
      <c r="P61" s="715">
        <f t="shared" si="8"/>
        <v>0</v>
      </c>
      <c r="Q61" s="715">
        <f t="shared" si="8"/>
        <v>0</v>
      </c>
      <c r="R61" s="715">
        <f ca="1">R46+R52+R56</f>
        <v>79062.212456957001</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0.21816054609347868</v>
      </c>
      <c r="D63" s="756">
        <f t="shared" ca="1" si="9"/>
        <v>0</v>
      </c>
      <c r="E63" s="1002">
        <f t="shared" ca="1" si="9"/>
        <v>0.20200000000000001</v>
      </c>
      <c r="F63" s="756">
        <f t="shared" si="9"/>
        <v>0.22700000000000001</v>
      </c>
      <c r="G63" s="756">
        <f t="shared" ca="1" si="9"/>
        <v>0.26700000000000002</v>
      </c>
      <c r="H63" s="756">
        <f t="shared" si="9"/>
        <v>0.26700000000000002</v>
      </c>
      <c r="I63" s="756">
        <f t="shared" si="9"/>
        <v>0.24900000000000003</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620.4761791972644</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620.4761791972644</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620.4761791972644</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620.4761791972644</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24580.169553289852</v>
      </c>
      <c r="C4" s="452">
        <f>huishoudens!C8</f>
        <v>0</v>
      </c>
      <c r="D4" s="452">
        <f>huishoudens!D8</f>
        <v>72909.562472617239</v>
      </c>
      <c r="E4" s="452">
        <f>huishoudens!E8</f>
        <v>3876.1678955148814</v>
      </c>
      <c r="F4" s="452">
        <f>huishoudens!F8</f>
        <v>9181.2306869330259</v>
      </c>
      <c r="G4" s="452">
        <f>huishoudens!G8</f>
        <v>0</v>
      </c>
      <c r="H4" s="452">
        <f>huishoudens!H8</f>
        <v>0</v>
      </c>
      <c r="I4" s="452">
        <f>huishoudens!I8</f>
        <v>0</v>
      </c>
      <c r="J4" s="452">
        <f>huishoudens!J8</f>
        <v>0</v>
      </c>
      <c r="K4" s="452">
        <f>huishoudens!K8</f>
        <v>0</v>
      </c>
      <c r="L4" s="452">
        <f>huishoudens!L8</f>
        <v>0</v>
      </c>
      <c r="M4" s="452">
        <f>huishoudens!M8</f>
        <v>0</v>
      </c>
      <c r="N4" s="452">
        <f>huishoudens!N8</f>
        <v>1304.4241390073516</v>
      </c>
      <c r="O4" s="452">
        <f>huishoudens!O8</f>
        <v>48.463333333333338</v>
      </c>
      <c r="P4" s="453">
        <f>huishoudens!P8</f>
        <v>133.46666666666667</v>
      </c>
      <c r="Q4" s="454">
        <f>SUM(B4:P4)</f>
        <v>112033.48474736234</v>
      </c>
    </row>
    <row r="5" spans="1:17">
      <c r="A5" s="451" t="s">
        <v>155</v>
      </c>
      <c r="B5" s="452">
        <f ca="1">tertiair!B16</f>
        <v>19098.6819</v>
      </c>
      <c r="C5" s="452">
        <f ca="1">tertiair!C16</f>
        <v>0</v>
      </c>
      <c r="D5" s="452">
        <f ca="1">tertiair!D16</f>
        <v>24234.682174511807</v>
      </c>
      <c r="E5" s="452">
        <f>tertiair!E16</f>
        <v>210.71145855222764</v>
      </c>
      <c r="F5" s="452">
        <f ca="1">tertiair!F16</f>
        <v>2927.7389418315051</v>
      </c>
      <c r="G5" s="452">
        <f>tertiair!G16</f>
        <v>0</v>
      </c>
      <c r="H5" s="452">
        <f>tertiair!H16</f>
        <v>0</v>
      </c>
      <c r="I5" s="452">
        <f>tertiair!I16</f>
        <v>0</v>
      </c>
      <c r="J5" s="452">
        <f>tertiair!J16</f>
        <v>0</v>
      </c>
      <c r="K5" s="452">
        <f>tertiair!K16</f>
        <v>0</v>
      </c>
      <c r="L5" s="452">
        <f ca="1">tertiair!L16</f>
        <v>0</v>
      </c>
      <c r="M5" s="452">
        <f>tertiair!M16</f>
        <v>0</v>
      </c>
      <c r="N5" s="452">
        <f ca="1">tertiair!N16</f>
        <v>2300.0291576952782</v>
      </c>
      <c r="O5" s="452">
        <f>tertiair!O16</f>
        <v>0</v>
      </c>
      <c r="P5" s="453">
        <f>tertiair!P16</f>
        <v>76.266666666666666</v>
      </c>
      <c r="Q5" s="451">
        <f t="shared" ref="Q5:Q14" ca="1" si="0">SUM(B5:P5)</f>
        <v>48848.110299257489</v>
      </c>
    </row>
    <row r="6" spans="1:17">
      <c r="A6" s="451" t="s">
        <v>193</v>
      </c>
      <c r="B6" s="452">
        <f>'openbare verlichting'!B8</f>
        <v>1474.55</v>
      </c>
      <c r="C6" s="452"/>
      <c r="D6" s="452"/>
      <c r="E6" s="452"/>
      <c r="F6" s="452"/>
      <c r="G6" s="452"/>
      <c r="H6" s="452"/>
      <c r="I6" s="452"/>
      <c r="J6" s="452"/>
      <c r="K6" s="452"/>
      <c r="L6" s="452"/>
      <c r="M6" s="452"/>
      <c r="N6" s="452"/>
      <c r="O6" s="452"/>
      <c r="P6" s="453"/>
      <c r="Q6" s="451">
        <f t="shared" si="0"/>
        <v>1474.55</v>
      </c>
    </row>
    <row r="7" spans="1:17">
      <c r="A7" s="451" t="s">
        <v>111</v>
      </c>
      <c r="B7" s="452">
        <f>landbouw!B8</f>
        <v>169.78276</v>
      </c>
      <c r="C7" s="452">
        <f>landbouw!C8</f>
        <v>0</v>
      </c>
      <c r="D7" s="452">
        <f>landbouw!D8</f>
        <v>264.66037552639079</v>
      </c>
      <c r="E7" s="452">
        <f>landbouw!E8</f>
        <v>1.572599034676599</v>
      </c>
      <c r="F7" s="452">
        <f>landbouw!F8</f>
        <v>430.77120570258842</v>
      </c>
      <c r="G7" s="452">
        <f>landbouw!G8</f>
        <v>0</v>
      </c>
      <c r="H7" s="452">
        <f>landbouw!H8</f>
        <v>0</v>
      </c>
      <c r="I7" s="452">
        <f>landbouw!I8</f>
        <v>0</v>
      </c>
      <c r="J7" s="452">
        <f>landbouw!J8</f>
        <v>26.029591889131702</v>
      </c>
      <c r="K7" s="452">
        <f>landbouw!K8</f>
        <v>0</v>
      </c>
      <c r="L7" s="452">
        <f>landbouw!L8</f>
        <v>0</v>
      </c>
      <c r="M7" s="452">
        <f>landbouw!M8</f>
        <v>0</v>
      </c>
      <c r="N7" s="452">
        <f>landbouw!N8</f>
        <v>0</v>
      </c>
      <c r="O7" s="452">
        <f>landbouw!O8</f>
        <v>0</v>
      </c>
      <c r="P7" s="453">
        <f>landbouw!P8</f>
        <v>0</v>
      </c>
      <c r="Q7" s="451">
        <f t="shared" si="0"/>
        <v>892.81653215278754</v>
      </c>
    </row>
    <row r="8" spans="1:17">
      <c r="A8" s="451" t="s">
        <v>649</v>
      </c>
      <c r="B8" s="452">
        <f>industrie!B18</f>
        <v>1682.5751399999999</v>
      </c>
      <c r="C8" s="452">
        <f>industrie!C18</f>
        <v>0</v>
      </c>
      <c r="D8" s="452">
        <f>industrie!D18</f>
        <v>1889.0850772527858</v>
      </c>
      <c r="E8" s="452">
        <f>industrie!E18</f>
        <v>139.13947376283451</v>
      </c>
      <c r="F8" s="452">
        <f>industrie!F18</f>
        <v>1791.6800619991088</v>
      </c>
      <c r="G8" s="452">
        <f>industrie!G18</f>
        <v>0</v>
      </c>
      <c r="H8" s="452">
        <f>industrie!H18</f>
        <v>0</v>
      </c>
      <c r="I8" s="452">
        <f>industrie!I18</f>
        <v>0</v>
      </c>
      <c r="J8" s="452">
        <f>industrie!J18</f>
        <v>19.455151115311796</v>
      </c>
      <c r="K8" s="452">
        <f>industrie!K18</f>
        <v>0</v>
      </c>
      <c r="L8" s="452">
        <f>industrie!L18</f>
        <v>0</v>
      </c>
      <c r="M8" s="452">
        <f>industrie!M18</f>
        <v>0</v>
      </c>
      <c r="N8" s="452">
        <f>industrie!N18</f>
        <v>440.34184900863301</v>
      </c>
      <c r="O8" s="452">
        <f>industrie!O18</f>
        <v>0</v>
      </c>
      <c r="P8" s="453">
        <f>industrie!P18</f>
        <v>0</v>
      </c>
      <c r="Q8" s="451">
        <f t="shared" si="0"/>
        <v>5962.2767531386744</v>
      </c>
    </row>
    <row r="9" spans="1:17" s="457" customFormat="1">
      <c r="A9" s="455" t="s">
        <v>570</v>
      </c>
      <c r="B9" s="456">
        <f>transport!B14</f>
        <v>21.113363791605927</v>
      </c>
      <c r="C9" s="456">
        <f>transport!C14</f>
        <v>0</v>
      </c>
      <c r="D9" s="456">
        <f>transport!D14</f>
        <v>39.02827648469944</v>
      </c>
      <c r="E9" s="456">
        <f>transport!E14</f>
        <v>437.59804333729454</v>
      </c>
      <c r="F9" s="456">
        <f>transport!F14</f>
        <v>0</v>
      </c>
      <c r="G9" s="456">
        <f>transport!G14</f>
        <v>135927.45238049625</v>
      </c>
      <c r="H9" s="456">
        <f>transport!H14</f>
        <v>24536.114398032121</v>
      </c>
      <c r="I9" s="456">
        <f>transport!I14</f>
        <v>0</v>
      </c>
      <c r="J9" s="456">
        <f>transport!J14</f>
        <v>0</v>
      </c>
      <c r="K9" s="456">
        <f>transport!K14</f>
        <v>0</v>
      </c>
      <c r="L9" s="456">
        <f>transport!L14</f>
        <v>0</v>
      </c>
      <c r="M9" s="456">
        <f>transport!M14</f>
        <v>8629.1082681228399</v>
      </c>
      <c r="N9" s="456">
        <f>transport!N14</f>
        <v>0</v>
      </c>
      <c r="O9" s="456">
        <f>transport!O14</f>
        <v>0</v>
      </c>
      <c r="P9" s="456">
        <f>transport!P14</f>
        <v>0</v>
      </c>
      <c r="Q9" s="455">
        <f>SUM(B9:P9)</f>
        <v>169590.41473026481</v>
      </c>
    </row>
    <row r="10" spans="1:17">
      <c r="A10" s="451" t="s">
        <v>560</v>
      </c>
      <c r="B10" s="452">
        <f>transport!B54</f>
        <v>0</v>
      </c>
      <c r="C10" s="452">
        <f>transport!C54</f>
        <v>0</v>
      </c>
      <c r="D10" s="452">
        <f>transport!D54</f>
        <v>0</v>
      </c>
      <c r="E10" s="452">
        <f>transport!E54</f>
        <v>0</v>
      </c>
      <c r="F10" s="452">
        <f>transport!F54</f>
        <v>0</v>
      </c>
      <c r="G10" s="452">
        <f>transport!G54</f>
        <v>1643.6922926569655</v>
      </c>
      <c r="H10" s="452">
        <f>transport!H54</f>
        <v>0</v>
      </c>
      <c r="I10" s="452">
        <f>transport!I54</f>
        <v>0</v>
      </c>
      <c r="J10" s="452">
        <f>transport!J54</f>
        <v>0</v>
      </c>
      <c r="K10" s="452">
        <f>transport!K54</f>
        <v>0</v>
      </c>
      <c r="L10" s="452">
        <f>transport!L54</f>
        <v>0</v>
      </c>
      <c r="M10" s="452">
        <f>transport!M54</f>
        <v>93.94844852907336</v>
      </c>
      <c r="N10" s="452">
        <f>transport!N54</f>
        <v>0</v>
      </c>
      <c r="O10" s="452">
        <f>transport!O54</f>
        <v>0</v>
      </c>
      <c r="P10" s="453">
        <f>transport!P54</f>
        <v>0</v>
      </c>
      <c r="Q10" s="451">
        <f t="shared" si="0"/>
        <v>1737.6407411860389</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1265.9469999999999</v>
      </c>
      <c r="C14" s="459"/>
      <c r="D14" s="459">
        <f>'SEAP template'!E25</f>
        <v>3554.3055549277901</v>
      </c>
      <c r="E14" s="459"/>
      <c r="F14" s="459"/>
      <c r="G14" s="459"/>
      <c r="H14" s="459"/>
      <c r="I14" s="459"/>
      <c r="J14" s="459"/>
      <c r="K14" s="459"/>
      <c r="L14" s="459"/>
      <c r="M14" s="459"/>
      <c r="N14" s="459"/>
      <c r="O14" s="459"/>
      <c r="P14" s="460"/>
      <c r="Q14" s="451">
        <f t="shared" si="0"/>
        <v>4820.2525549277898</v>
      </c>
    </row>
    <row r="15" spans="1:17" s="461" customFormat="1">
      <c r="A15" s="1017" t="s">
        <v>564</v>
      </c>
      <c r="B15" s="957">
        <f ca="1">SUM(B4:B14)</f>
        <v>48292.819717081467</v>
      </c>
      <c r="C15" s="957">
        <f t="shared" ref="C15:Q15" ca="1" si="1">SUM(C4:C14)</f>
        <v>0</v>
      </c>
      <c r="D15" s="957">
        <f t="shared" ca="1" si="1"/>
        <v>102891.32393132072</v>
      </c>
      <c r="E15" s="957">
        <f t="shared" si="1"/>
        <v>4665.1894702019144</v>
      </c>
      <c r="F15" s="957">
        <f t="shared" ca="1" si="1"/>
        <v>14331.420896466228</v>
      </c>
      <c r="G15" s="957">
        <f t="shared" si="1"/>
        <v>137571.14467315321</v>
      </c>
      <c r="H15" s="957">
        <f t="shared" si="1"/>
        <v>24536.114398032121</v>
      </c>
      <c r="I15" s="957">
        <f t="shared" si="1"/>
        <v>0</v>
      </c>
      <c r="J15" s="957">
        <f t="shared" si="1"/>
        <v>45.484743004443501</v>
      </c>
      <c r="K15" s="957">
        <f t="shared" si="1"/>
        <v>0</v>
      </c>
      <c r="L15" s="957">
        <f t="shared" ca="1" si="1"/>
        <v>0</v>
      </c>
      <c r="M15" s="957">
        <f t="shared" si="1"/>
        <v>8723.056716651914</v>
      </c>
      <c r="N15" s="957">
        <f t="shared" ca="1" si="1"/>
        <v>4044.7951457112626</v>
      </c>
      <c r="O15" s="957">
        <f t="shared" si="1"/>
        <v>48.463333333333338</v>
      </c>
      <c r="P15" s="957">
        <f t="shared" si="1"/>
        <v>209.73333333333335</v>
      </c>
      <c r="Q15" s="957">
        <f t="shared" ca="1" si="1"/>
        <v>345359.5463582899</v>
      </c>
    </row>
    <row r="17" spans="1:17">
      <c r="A17" s="462" t="s">
        <v>565</v>
      </c>
      <c r="B17" s="761">
        <f ca="1">huishoudens!B10</f>
        <v>0.21816054609347871</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5362.4232128160129</v>
      </c>
      <c r="C22" s="452">
        <f t="shared" ref="C22:C32" ca="1" si="3">C4*$C$17</f>
        <v>0</v>
      </c>
      <c r="D22" s="452">
        <f t="shared" ref="D22:D32" si="4">D4*$D$17</f>
        <v>14727.731619468683</v>
      </c>
      <c r="E22" s="452">
        <f t="shared" ref="E22:E32" si="5">E4*$E$17</f>
        <v>879.89011228187815</v>
      </c>
      <c r="F22" s="452">
        <f t="shared" ref="F22:F32" si="6">F4*$F$17</f>
        <v>2451.3885934111181</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23421.433537977689</v>
      </c>
    </row>
    <row r="23" spans="1:17">
      <c r="A23" s="451" t="s">
        <v>155</v>
      </c>
      <c r="B23" s="452">
        <f t="shared" ca="1" si="2"/>
        <v>4166.5788729696378</v>
      </c>
      <c r="C23" s="452">
        <f t="shared" ca="1" si="3"/>
        <v>0</v>
      </c>
      <c r="D23" s="452">
        <f t="shared" ca="1" si="4"/>
        <v>4895.4057992513854</v>
      </c>
      <c r="E23" s="452">
        <f t="shared" si="5"/>
        <v>47.831501091355676</v>
      </c>
      <c r="F23" s="452">
        <f t="shared" ca="1" si="6"/>
        <v>781.70629746901193</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9891.5224707813923</v>
      </c>
    </row>
    <row r="24" spans="1:17">
      <c r="A24" s="451" t="s">
        <v>193</v>
      </c>
      <c r="B24" s="452">
        <f t="shared" ca="1" si="2"/>
        <v>321.68863324213902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321.68863324213902</v>
      </c>
    </row>
    <row r="25" spans="1:17">
      <c r="A25" s="451" t="s">
        <v>111</v>
      </c>
      <c r="B25" s="452">
        <f t="shared" ca="1" si="2"/>
        <v>37.039899638858031</v>
      </c>
      <c r="C25" s="452">
        <f t="shared" ca="1" si="3"/>
        <v>0</v>
      </c>
      <c r="D25" s="452">
        <f t="shared" si="4"/>
        <v>53.461395856330945</v>
      </c>
      <c r="E25" s="452">
        <f t="shared" si="5"/>
        <v>0.356979980871588</v>
      </c>
      <c r="F25" s="452">
        <f t="shared" si="6"/>
        <v>115.01591192259112</v>
      </c>
      <c r="G25" s="452">
        <f t="shared" si="7"/>
        <v>0</v>
      </c>
      <c r="H25" s="452">
        <f t="shared" si="8"/>
        <v>0</v>
      </c>
      <c r="I25" s="452">
        <f t="shared" si="9"/>
        <v>0</v>
      </c>
      <c r="J25" s="452">
        <f t="shared" si="10"/>
        <v>9.2144755287526223</v>
      </c>
      <c r="K25" s="452">
        <f t="shared" si="11"/>
        <v>0</v>
      </c>
      <c r="L25" s="452">
        <f t="shared" si="12"/>
        <v>0</v>
      </c>
      <c r="M25" s="452">
        <f t="shared" si="13"/>
        <v>0</v>
      </c>
      <c r="N25" s="452">
        <f t="shared" si="14"/>
        <v>0</v>
      </c>
      <c r="O25" s="452">
        <f t="shared" si="15"/>
        <v>0</v>
      </c>
      <c r="P25" s="453">
        <f t="shared" si="16"/>
        <v>0</v>
      </c>
      <c r="Q25" s="451">
        <f t="shared" ca="1" si="17"/>
        <v>215.08866292740427</v>
      </c>
    </row>
    <row r="26" spans="1:17">
      <c r="A26" s="451" t="s">
        <v>649</v>
      </c>
      <c r="B26" s="452">
        <f t="shared" ca="1" si="2"/>
        <v>367.07151138571135</v>
      </c>
      <c r="C26" s="452">
        <f t="shared" ca="1" si="3"/>
        <v>0</v>
      </c>
      <c r="D26" s="452">
        <f t="shared" si="4"/>
        <v>381.59518560506274</v>
      </c>
      <c r="E26" s="452">
        <f t="shared" si="5"/>
        <v>31.584660544163434</v>
      </c>
      <c r="F26" s="452">
        <f t="shared" si="6"/>
        <v>478.37857655376206</v>
      </c>
      <c r="G26" s="452">
        <f t="shared" si="7"/>
        <v>0</v>
      </c>
      <c r="H26" s="452">
        <f t="shared" si="8"/>
        <v>0</v>
      </c>
      <c r="I26" s="452">
        <f t="shared" si="9"/>
        <v>0</v>
      </c>
      <c r="J26" s="452">
        <f t="shared" si="10"/>
        <v>6.8871234948203757</v>
      </c>
      <c r="K26" s="452">
        <f t="shared" si="11"/>
        <v>0</v>
      </c>
      <c r="L26" s="452">
        <f t="shared" si="12"/>
        <v>0</v>
      </c>
      <c r="M26" s="452">
        <f t="shared" si="13"/>
        <v>0</v>
      </c>
      <c r="N26" s="452">
        <f t="shared" si="14"/>
        <v>0</v>
      </c>
      <c r="O26" s="452">
        <f t="shared" si="15"/>
        <v>0</v>
      </c>
      <c r="P26" s="453">
        <f t="shared" si="16"/>
        <v>0</v>
      </c>
      <c r="Q26" s="451">
        <f t="shared" ca="1" si="17"/>
        <v>1265.5170575835198</v>
      </c>
    </row>
    <row r="27" spans="1:17" s="457" customFormat="1">
      <c r="A27" s="455" t="s">
        <v>570</v>
      </c>
      <c r="B27" s="755">
        <f t="shared" ca="1" si="2"/>
        <v>4.6061029746470297</v>
      </c>
      <c r="C27" s="456">
        <f t="shared" ca="1" si="3"/>
        <v>0</v>
      </c>
      <c r="D27" s="456">
        <f t="shared" si="4"/>
        <v>7.8837118499092877</v>
      </c>
      <c r="E27" s="456">
        <f t="shared" si="5"/>
        <v>99.334755837565865</v>
      </c>
      <c r="F27" s="456">
        <f t="shared" si="6"/>
        <v>0</v>
      </c>
      <c r="G27" s="456">
        <f t="shared" si="7"/>
        <v>36292.6297855925</v>
      </c>
      <c r="H27" s="456">
        <f t="shared" si="8"/>
        <v>6109.4924851099986</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42513.946841364625</v>
      </c>
    </row>
    <row r="28" spans="1:17">
      <c r="A28" s="451" t="s">
        <v>560</v>
      </c>
      <c r="B28" s="452">
        <f t="shared" ca="1" si="2"/>
        <v>0</v>
      </c>
      <c r="C28" s="452">
        <f t="shared" ca="1" si="3"/>
        <v>0</v>
      </c>
      <c r="D28" s="452">
        <f t="shared" si="4"/>
        <v>0</v>
      </c>
      <c r="E28" s="452">
        <f t="shared" si="5"/>
        <v>0</v>
      </c>
      <c r="F28" s="452">
        <f t="shared" si="6"/>
        <v>0</v>
      </c>
      <c r="G28" s="452">
        <f t="shared" si="7"/>
        <v>438.86584213940984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438.86584213940984</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276.17968884540107</v>
      </c>
      <c r="C32" s="452">
        <f t="shared" ca="1" si="3"/>
        <v>0</v>
      </c>
      <c r="D32" s="452">
        <f t="shared" si="4"/>
        <v>717.96972209541366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994.14941094081473</v>
      </c>
    </row>
    <row r="33" spans="1:17" s="461" customFormat="1">
      <c r="A33" s="1017" t="s">
        <v>564</v>
      </c>
      <c r="B33" s="957">
        <f ca="1">SUM(B22:B32)</f>
        <v>10535.587921872406</v>
      </c>
      <c r="C33" s="957">
        <f t="shared" ref="C33:Q33" ca="1" si="18">SUM(C22:C32)</f>
        <v>0</v>
      </c>
      <c r="D33" s="957">
        <f t="shared" ca="1" si="18"/>
        <v>20784.047434126787</v>
      </c>
      <c r="E33" s="957">
        <f t="shared" si="18"/>
        <v>1058.9980097358348</v>
      </c>
      <c r="F33" s="957">
        <f t="shared" ca="1" si="18"/>
        <v>3826.4893793564834</v>
      </c>
      <c r="G33" s="957">
        <f t="shared" si="18"/>
        <v>36731.495627731907</v>
      </c>
      <c r="H33" s="957">
        <f t="shared" si="18"/>
        <v>6109.4924851099986</v>
      </c>
      <c r="I33" s="957">
        <f t="shared" si="18"/>
        <v>0</v>
      </c>
      <c r="J33" s="957">
        <f t="shared" si="18"/>
        <v>16.101599023572998</v>
      </c>
      <c r="K33" s="957">
        <f t="shared" si="18"/>
        <v>0</v>
      </c>
      <c r="L33" s="957">
        <f t="shared" ca="1" si="18"/>
        <v>0</v>
      </c>
      <c r="M33" s="957">
        <f t="shared" si="18"/>
        <v>0</v>
      </c>
      <c r="N33" s="957">
        <f t="shared" ca="1" si="18"/>
        <v>0</v>
      </c>
      <c r="O33" s="957">
        <f t="shared" si="18"/>
        <v>0</v>
      </c>
      <c r="P33" s="957">
        <f t="shared" si="18"/>
        <v>0</v>
      </c>
      <c r="Q33" s="957">
        <f t="shared" ca="1" si="18"/>
        <v>79062.212456956986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620.4761791972644</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620.4761791972644</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0.21816054609347871</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0.21816054609347871</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2020-06-20T16:05:04Z</dcterms:modified>
</cp:coreProperties>
</file>