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J15" i="16"/>
  <c r="B7" i="48"/>
  <c r="C24" i="14"/>
  <c r="C26" i="14" s="1"/>
  <c r="C11" i="14"/>
  <c r="B4" i="48"/>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63" i="14"/>
  <c r="E7" i="48"/>
  <c r="E25" i="48" s="1"/>
  <c r="F24" i="14"/>
  <c r="F26"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<sst xmlns="http://schemas.openxmlformats.org/spreadsheetml/2006/main" count="2434" uniqueCount="913">
  <si>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</si>
  <si>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</si>
  <si>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</si>
  <si>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</si>
  <si>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</si>
  <si>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</si>
  <si>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</si>
  <si>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</si>
  <si>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</si>
  <si>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</si>
  <si>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</si>
  <si>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</si>
  <si>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</si>
  <si>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</si>
  <si>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</si>
  <si>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</si>
  <si>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</si>
  <si>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</si>
  <si>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</si>
  <si>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</si>
  <si>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</si>
  <si>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</si>
  <si>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</si>
  <si>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</si>
  <si>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</si>
  <si>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</si>
  <si>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</si>
  <si>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</si>
  <si>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</si>
  <si>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</si>
  <si>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</si>
  <si>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</si>
  <si>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</si>
  <si>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</si>
  <si>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</si>
  <si>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</si>
  <si>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</si>
  <si>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</si>
  <si>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</si>
  <si>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</si>
  <si>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</si>
  <si>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</si>
  <si>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</si>
  <si>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</si>
  <si>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</si>
  <si>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</si>
  <si>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</si>
  <si>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</si>
  <si>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</si>
  <si>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</si>
  <si>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</si>
  <si>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</si>
  <si>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</si>
  <si>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</si>
  <si>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</si>
  <si>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</si>
  <si>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</si>
  <si>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</si>
  <si>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</si>
  <si>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</si>
  <si>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</si>
  <si>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</si>
  <si>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</si>
  <si>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</si>
  <si>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</si>
  <si>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</si>
  <si>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</si>
  <si>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</si>
  <si>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</si>
  <si>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</si>
  <si>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</si>
  <si>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</si>
  <si>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</si>
  <si>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</si>
  <si>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</si>
  <si>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</si>
  <si>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</si>
  <si>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</si>
  <si>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</si>
  <si>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</si>
  <si>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</si>
  <si>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</si>
  <si>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</si>
  <si>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</si>
  <si>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</si>
  <si>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</si>
  <si>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</si>
  <si>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</si>
  <si>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</si>
  <si>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</si>
  <si>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</si>
  <si>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</si>
  <si>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</si>
  <si>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</si>
  <si>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</si>
  <si>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</si>
  <si>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</si>
  <si>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</si>
  <si>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</si>
  <si>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</si>
  <si>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</si>
  <si>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</si>
  <si>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</si>
  <si>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</si>
  <si>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</si>
  <si>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</si>
  <si>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</si>
  <si>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</si>
  <si>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</si>
  <si>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</si>
  <si>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</si>
  <si>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</si>
  <si>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</si>
  <si>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</si>
  <si>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</si>
  <si>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</si>
  <si>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</si>
  <si>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</si>
  <si>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</si>
  <si>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</si>
  <si>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</si>
  <si>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</si>
  <si>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</si>
  <si>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</si>
  <si>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</si>
  <si>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</si>
  <si>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</si>
  <si>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</si>
  <si>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</si>
  <si>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</si>
  <si>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</si>
  <si>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</si>
  <si>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</si>
  <si>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</si>
  <si>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</si>
  <si>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</si>
  <si>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</si>
  <si>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</si>
  <si>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</si>
  <si>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</si>
  <si>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</si>
  <si>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</si>
  <si>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</si>
  <si>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</si>
  <si>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</si>
  <si>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</si>
  <si>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</si>
  <si>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</si>
  <si>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</si>
  <si>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</si>
  <si>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</si>
  <si>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</si>
  <si>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</si>
  <si>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</si>
  <si>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</si>
  <si>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</si>
  <si>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</si>
  <si>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</si>
  <si>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</si>
  <si>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</si>
  <si>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</si>
  <si>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</si>
  <si>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</si>
  <si>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</si>
  <si>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</si>
  <si>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</si>
  <si>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</si>
  <si>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</si>
  <si>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</si>
  <si>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</si>
  <si>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</si>
  <si>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</si>
  <si>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</si>
  <si>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</si>
  <si>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</si>
  <si>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</si>
  <si>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</si>
  <si>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</si>
  <si>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</si>
  <si>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</si>
  <si>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</si>
  <si>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</si>
  <si>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</si>
  <si>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</si>
  <si>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</si>
  <si>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</si>
  <si>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</si>
  <si>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</si>
  <si>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</si>
  <si>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</si>
  <si>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</si>
  <si>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</si>
  <si>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</si>
  <si>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</si>
  <si>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</si>
  <si>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</si>
  <si>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</si>
  <si>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</si>
  <si>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</si>
  <si>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</si>
  <si>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</si>
  <si>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</si>
  <si>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</si>
  <si>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</si>
  <si>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</si>
  <si>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</si>
  <si>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</si>
  <si>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</si>
  <si>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</si>
  <si>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</si>
  <si>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</si>
  <si>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</si>
  <si>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</si>
  <si>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</si>
  <si>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</si>
  <si>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</si>
  <si>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</si>
  <si>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</si>
  <si>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</si>
  <si>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</si>
  <si>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</si>
  <si>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</si>
  <si>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</si>
  <si>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</si>
  <si>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</si>
  <si>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</si>
  <si>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</si>
  <si>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</si>
  <si>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</si>
  <si>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</si>
  <si>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</si>
  <si>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</si>
  <si>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</si>
  <si>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</si>
  <si>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</si>
  <si>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</si>
  <si>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</si>
  <si>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</si>
  <si>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</si>
  <si>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</si>
  <si>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</si>
  <si>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</si>
  <si>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</si>
  <si>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</si>
  <si>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</si>
  <si>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</si>
  <si>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</si>
  <si>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</si>
  <si>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</si>
  <si>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</si>
  <si>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</si>
  <si>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</si>
  <si>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</si>
  <si>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</si>
  <si>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</si>
  <si>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</si>
  <si>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</si>
  <si>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</si>
  <si>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</si>
  <si>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</si>
  <si>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</si>
  <si>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</si>
  <si>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</si>
  <si>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</si>
  <si>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</si>
  <si>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</si>
  <si>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</si>
  <si>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</si>
  <si>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</si>
  <si>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</si>
  <si>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</si>
  <si>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</si>
  <si>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</si>
  <si>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</si>
  <si>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</si>
  <si>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</si>
  <si>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</si>
  <si>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</si>
  <si>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</si>
  <si>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</si>
  <si>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</si>
  <si>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</si>
  <si>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</si>
  <si>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</si>
  <si>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</si>
  <si>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</si>
  <si>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</si>
  <si>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</si>
  <si>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</si>
  <si>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</si>
  <si>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</si>
  <si>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</si>
  <si>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</si>
  <si>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</si>
  <si>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</si>
  <si>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</si>
  <si>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</si>
  <si>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</si>
  <si>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</si>
  <si>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</si>
  <si>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</si>
  <si>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</si>
  <si>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</si>
  <si>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</si>
  <si>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</si>
  <si>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</si>
  <si>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</si>
  <si>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</si>
  <si>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</si>
  <si>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</si>
  <si>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</si>
  <si>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</si>
  <si>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</si>
  <si>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</si>
  <si>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</si>
  <si>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</si>
  <si>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</si>
  <si>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</si>
  <si>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</si>
  <si>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</si>
  <si>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</si>
  <si>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</si>
  <si>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</si>
  <si>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</si>
  <si>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</si>
  <si>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</si>
  <si>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</si>
  <si>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</si>
  <si>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</si>
  <si>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</si>
  <si>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</si>
  <si>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</si>
  <si>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</si>
  <si>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</si>
  <si>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</si>
  <si>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</si>
  <si>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</si>
  <si>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</si>
  <si>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</si>
  <si>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</si>
  <si>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</si>
  <si>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</si>
  <si>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</si>
  <si>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</si>
  <si>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</si>
  <si>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</si>
  <si>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</si>
  <si>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</si>
  <si>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</si>
  <si>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</si>
  <si>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</si>
  <si>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</si>
  <si>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</si>
  <si>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</si>
  <si>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</si>
  <si>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</si>
  <si>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</si>
  <si>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</si>
  <si>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</si>
  <si>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</si>
  <si>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</si>
  <si>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</si>
  <si>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</si>
  <si>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</si>
  <si>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</si>
  <si>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</si>
  <si>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</si>
  <si>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</si>
  <si>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</si>
  <si>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</si>
  <si>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</si>
  <si>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</si>
  <si>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</si>
  <si>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</si>
  <si>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</si>
  <si>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</si>
  <si>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</si>
  <si>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</si>
  <si>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</si>
  <si>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</si>
  <si>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</si>
  <si>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</si>
  <si>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</si>
  <si>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</si>
  <si>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</si>
  <si>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</si>
  <si>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</si>
  <si>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</si>
  <si>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</si>
  <si>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</si>
  <si>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</si>
  <si>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</si>
  <si>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</si>
  <si>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</si>
  <si>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</si>
  <si>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</si>
  <si>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</si>
  <si>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</si>
  <si>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</si>
  <si>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</si>
  <si>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</si>
  <si>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</si>
  <si>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</si>
  <si>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</si>
  <si>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</si>
  <si>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</si>
  <si>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</si>
  <si>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</si>
  <si>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</si>
  <si>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</si>
  <si>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</si>
  <si>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</si>
  <si>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</si>
  <si>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</si>
  <si>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</si>
  <si>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</si>
  <si>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</si>
  <si>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</si>
  <si>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</si>
  <si>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</si>
  <si>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</si>
  <si>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</si>
  <si>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</si>
  <si>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</si>
  <si>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</si>
  <si>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</si>
  <si>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</si>
  <si>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</si>
  <si>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</si>
  <si>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</si>
  <si>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</si>
  <si>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</si>
  <si>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</si>
  <si>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</si>
  <si>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</si>
  <si>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</si>
  <si>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</si>
  <si>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</si>
  <si>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</si>
  <si>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</si>
  <si>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</si>
  <si>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</si>
  <si>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</si>
  <si>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</si>
  <si>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</si>
  <si>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</si>
  <si>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</si>
  <si>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</si>
  <si>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</si>
  <si>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</si>
  <si>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</si>
  <si>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</si>
  <si>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</si>
  <si>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</si>
  <si>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</si>
  <si>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</si>
  <si>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</si>
  <si>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</si>
  <si>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</si>
  <si>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</si>
  <si>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</si>
  <si>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</si>
  <si>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</si>
  <si>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</si>
  <si>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</si>
  <si>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</si>
  <si>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</si>
  <si>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</si>
  <si>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</si>
  <si>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</si>
  <si>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</si>
  <si>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</si>
  <si>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</si>
  <si>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</si>
  <si>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</si>
  <si>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</si>
  <si>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</si>
  <si>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</si>
  <si>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</si>
  <si>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</si>
  <si>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</si>
  <si>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</si>
  <si>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</si>
  <si>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</si>
  <si>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</si>
  <si>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</si>
  <si>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</si>
  <si>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</si>
  <si>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</si>
  <si>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</si>
  <si>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</si>
  <si>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</si>
  <si>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</si>
  <si>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</si>
  <si>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</si>
  <si>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</si>
  <si>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</si>
  <si>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</si>
  <si>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</si>
  <si>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</si>
  <si>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</si>
  <si>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</si>
  <si>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</si>
  <si>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</si>
  <si>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</si>
  <si>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</si>
  <si>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</si>
  <si>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</si>
  <si>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</si>
  <si>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</si>
  <si>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</si>
  <si>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</si>
  <si>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</si>
  <si>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</si>
  <si>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</si>
  <si>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</si>
  <si>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</si>
  <si>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</si>
  <si>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</si>
  <si>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</si>
  <si>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</si>
  <si>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</si>
  <si>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</si>
  <si>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</si>
  <si>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</si>
  <si>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</si>
  <si>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</si>
  <si>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</si>
  <si>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</si>
  <si>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</si>
  <si>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</si>
  <si>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</si>
  <si>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</si>
  <si>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</si>
  <si>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</si>
  <si>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</si>
  <si>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</si>
  <si>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</si>
  <si>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</si>
  <si>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</si>
  <si>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</si>
  <si>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</si>
  <si>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</si>
  <si>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</si>
  <si>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</si>
  <si>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</si>
  <si>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</si>
  <si>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</si>
  <si>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</si>
  <si>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</si>
  <si>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</si>
  <si>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</si>
  <si>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</si>
  <si>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</si>
  <si>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</si>
  <si>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</si>
  <si>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</si>
  <si>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</si>
  <si>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</si>
  <si>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</si>
  <si>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</si>
  <si>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</si>
  <si>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</si>
  <si>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</si>
  <si>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</si>
  <si>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</si>
  <si>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</si>
  <si>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</si>
  <si>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</si>
  <si>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</si>
  <si>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</si>
  <si>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</si>
  <si>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</si>
  <si>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</si>
  <si>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</si>
  <si>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</si>
  <si>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</si>
  <si>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</si>
  <si>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</si>
  <si>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</si>
  <si>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</si>
  <si>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</si>
  <si>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</si>
  <si>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</si>
  <si>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</si>
  <si>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</si>
  <si>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</si>
  <si>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</si>
  <si>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</si>
  <si>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</si>
  <si>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</si>
  <si>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</si>
  <si>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</si>
  <si>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</si>
  <si>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</si>
  <si>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</si>
  <si>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</si>
  <si>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</si>
  <si>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</si>
  <si>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</si>
  <si>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</si>
  <si>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</si>
  <si>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</si>
  <si>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</si>
  <si>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</si>
  <si>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</si>
  <si>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</si>
  <si>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</si>
  <si>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</si>
  <si>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</si>
  <si>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</si>
  <si>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</si>
  <si>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</si>
  <si>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</si>
  <si>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</si>
  <si>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</si>
  <si>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</si>
  <si>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</si>
  <si>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</si>
  <si>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</si>
  <si>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</si>
  <si>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</si>
  <si>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</si>
  <si>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</si>
  <si>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</si>
  <si>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</si>
  <si>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</si>
  <si>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</si>
  <si>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</si>
  <si>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</si>
  <si>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</si>
  <si>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</si>
  <si>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</si>
  <si>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</si>
  <si>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</si>
  <si>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</si>
  <si>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</si>
  <si>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</si>
  <si>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</si>
  <si>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</si>
  <si>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</si>
  <si>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</si>
  <si>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</si>
  <si>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</si>
  <si>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</si>
  <si>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</si>
  <si>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</si>
  <si>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</si>
  <si>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</si>
  <si>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</si>
  <si>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</si>
  <si>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</si>
  <si>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</si>
  <si>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</si>
  <si>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</si>
  <si>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</si>
  <si>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</si>
  <si>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</si>
  <si>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</si>
  <si>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</si>
  <si>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</si>
  <si>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</si>
  <si>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</si>
  <si>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</si>
  <si>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</si>
  <si>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</si>
  <si>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</si>
  <si>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</si>
  <si>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</si>
  <si>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</si>
  <si>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</si>
  <si>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</si>
  <si>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</si>
  <si>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</si>
  <si>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</si>
  <si>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</si>
  <si>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</si>
  <si>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</si>
  <si>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</si>
  <si>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</si>
  <si>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</si>
  <si>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</si>
  <si>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</si>
  <si>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</si>
  <si>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</si>
  <si>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</si>
  <si>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</si>
  <si>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</si>
  <si>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</si>
  <si>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</si>
  <si>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</si>
  <si>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</si>
  <si>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</si>
  <si>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</si>
  <si>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</si>
  <si>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</si>
  <si>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</si>
  <si>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</si>
  <si>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</si>
  <si>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</si>
  <si>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</si>
  <si>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</si>
  <si>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</si>
  <si>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</si>
  <si>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</si>
  <si>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</si>
  <si>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</si>
  <si>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</si>
  <si>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</si>
  <si>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</si>
  <si>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</si>
  <si>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</si>
  <si>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</si>
  <si>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</si>
  <si>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</si>
  <si>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</si>
  <si>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</si>
  <si>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</si>
  <si>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</si>
  <si>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</si>
  <si>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</si>
  <si>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</si>
  <si>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</si>
  <si>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</si>
  <si>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</si>
  <si>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</si>
  <si>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</si>
  <si>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</si>
  <si>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</si>
  <si>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</si>
  <si>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</si>
  <si>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</si>
  <si>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</si>
  <si>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</si>
  <si>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</si>
  <si>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</si>
  <si>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</si>
  <si>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</si>
  <si>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</si>
  <si>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</si>
  <si>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</si>
  <si>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</si>
  <si>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</si>
  <si>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</si>
  <si>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</si>
  <si>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</si>
  <si>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</si>
  <si>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</si>
  <si>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</si>
  <si>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</si>
  <si>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</si>
  <si>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</si>
  <si>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</si>
  <si>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</si>
  <si>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</si>
  <si>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</si>
  <si>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</si>
  <si>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</si>
  <si>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</si>
  <si>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</si>
  <si>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</si>
  <si>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</si>
  <si>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</si>
  <si>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</si>
  <si>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</si>
  <si>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</si>
  <si>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</si>
  <si>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</si>
  <si>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</si>
  <si>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</si>
  <si>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</si>
  <si>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</si>
  <si>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</si>
  <si>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</si>
  <si>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</si>
  <si>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</si>
  <si>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</si>
  <si>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</si>
  <si>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</si>
  <si>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</si>
  <si>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</si>
  <si>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</si>
  <si>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</si>
  <si>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</si>
  <si>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</si>
  <si>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</si>
  <si>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</si>
  <si>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</si>
  <si>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</si>
  <si>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</si>
  <si>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</si>
  <si>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</si>
  <si>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</si>
  <si>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</si>
  <si>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</si>
  <si>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</si>
  <si>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</si>
  <si>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</si>
  <si>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</si>
  <si>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</si>
  <si>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</si>
  <si>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</si>
  <si>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</si>
  <si>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</si>
  <si>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</si>
  <si>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</si>
  <si>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</si>
  <si>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</si>
  <si>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</si>
  <si>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</si>
  <si>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</si>
  <si>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</si>
  <si>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</si>
  <si>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</si>
  <si>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</si>
  <si>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</si>
  <si>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</si>
  <si>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</si>
  <si>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</si>
  <si>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</si>
  <si>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</si>
  <si>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</si>
  <si>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</si>
  <si>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</si>
  <si>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</si>
  <si>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</si>
  <si>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</si>
  <si>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</si>
  <si>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</si>
  <si>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</si>
  <si>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</si>
  <si>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</si>
  <si>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</si>
  <si>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</si>
  <si>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</si>
  <si>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</si>
  <si>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</si>
  <si>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</si>
  <si>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</si>
  <si>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</si>
  <si>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</si>
  <si>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</si>
  <si>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</si>
  <si>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</si>
  <si>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</si>
  <si>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</si>
  <si>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</si>
  <si>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</si>
  <si>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</si>
  <si>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</si>
  <si>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</si>
  <si>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</si>
  <si>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</si>
  <si>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</si>
  <si>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</si>
  <si>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</si>
  <si>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</si>
  <si>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</si>
  <si>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</si>
  <si>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</si>
  <si>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</si>
  <si>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</si>
  <si>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</si>
  <si>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</si>
  <si>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</si>
  <si>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</si>
  <si>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</si>
  <si>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</si>
  <si>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</si>
  <si>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</si>
  <si>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</si>
  <si>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</si>
  <si>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</si>
  <si>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</si>
  <si>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</si>
  <si>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</si>
  <si>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</si>
  <si>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</si>
  <si>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</si>
  <si>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</si>
  <si>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</si>
  <si>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</si>
  <si>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</si>
  <si>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</si>
  <si>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</si>
  <si>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</si>
  <si>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</si>
  <si>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</si>
  <si>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</si>
  <si>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</si>
  <si>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</si>
  <si>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</si>
  <si>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</si>
  <si>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</si>
  <si>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</si>
  <si>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</si>
  <si>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</si>
  <si>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</si>
  <si>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</si>
  <si>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</si>
  <si>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</si>
  <si>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</si>
  <si>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</si>
  <si>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</si>
  <si>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</si>
  <si>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</si>
  <si>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</si>
  <si>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23062</t>
  </si>
  <si>
    <t>OVERIJSE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</si>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</sst>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229730.36238849111</c:v>
                </c:pt>
                <c:pt idx="1">
                  <c:v>69823.751941304567</c:v>
                </c:pt>
                <c:pt idx="2">
                  <c:v>2019.59</c:v>
                </c:pt>
                <c:pt idx="3">
                  <c:v>3367.1413507137572</c:v>
                </c:pt>
                <c:pt idx="4">
                  <c:v>9749.1983547277869</c:v>
                </c:pt>
                <c:pt idx="5">
                  <c:v>300088.2881997705</c:v>
                </c:pt>
                <c:pt idx="6">
                  <c:v>4282.1020807128116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229730.36238849111</c:v>
                </c:pt>
                <c:pt idx="1">
                  <c:v>69823.751941304567</c:v>
                </c:pt>
                <c:pt idx="2">
                  <c:v>2019.59</c:v>
                </c:pt>
                <c:pt idx="3">
                  <c:v>3367.1413507137572</c:v>
                </c:pt>
                <c:pt idx="4">
                  <c:v>9749.1983547277869</c:v>
                </c:pt>
                <c:pt idx="5">
                  <c:v>300088.2881997705</c:v>
                </c:pt>
                <c:pt idx="6">
                  <c:v>4282.1020807128116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48542.441115302296</c:v>
                </c:pt>
                <c:pt idx="2">
                  <c:v>13827.145542491393</c:v>
                </c:pt>
                <c:pt idx="3">
                  <c:v>428.90878764513752</c:v>
                </c:pt>
                <c:pt idx="4">
                  <c:v>802.59622665034556</c:v>
                </c:pt>
                <c:pt idx="5">
                  <c:v>2076.6796412449453</c:v>
                </c:pt>
                <c:pt idx="6">
                  <c:v>75173.881548392004</c:v>
                </c:pt>
                <c:pt idx="7">
                  <c:v>1081.5056825245931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48542.441115302296</c:v>
                </c:pt>
                <c:pt idx="2">
                  <c:v>13827.145542491393</c:v>
                </c:pt>
                <c:pt idx="3">
                  <c:v>428.90878764513752</c:v>
                </c:pt>
                <c:pt idx="4">
                  <c:v>802.59622665034556</c:v>
                </c:pt>
                <c:pt idx="5">
                  <c:v>2076.6796412449453</c:v>
                </c:pt>
                <c:pt idx="6">
                  <c:v>75173.881548392004</c:v>
                </c:pt>
                <c:pt idx="7">
                  <c:v>1081.5056825245931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23062</v>
      </c>
      <c r="B6" s="391"/>
      <c r="C6" s="392"/>
    </row>
    <row r="7" spans="1:7" s="389" customFormat="1" ht="15.75" customHeight="1">
      <c r="A7" s="393" t="str">
        <f>txtMunicipality</f>
        <v>OVERIJSE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28865.345799999999</v>
      </c>
      <c r="D10" s="991">
        <f ca="1">tertiair!C16</f>
        <v>0</v>
      </c>
      <c r="E10" s="991">
        <f ca="1">tertiair!D16</f>
        <v>34334.394985345833</v>
      </c>
      <c r="F10" s="991">
        <f>tertiair!E16</f>
        <v>281.24212299820567</v>
      </c>
      <c r="G10" s="991">
        <f ca="1">tertiair!F16</f>
        <v>4218.7647451299463</v>
      </c>
      <c r="H10" s="991">
        <f>tertiair!G16</f>
        <v>0</v>
      </c>
      <c r="I10" s="991">
        <f>tertiair!H16</f>
        <v>0</v>
      </c>
      <c r="J10" s="991">
        <f>tertiair!I16</f>
        <v>0</v>
      </c>
      <c r="K10" s="991">
        <f>tertiair!J16</f>
        <v>0</v>
      </c>
      <c r="L10" s="991">
        <f>tertiair!K16</f>
        <v>0</v>
      </c>
      <c r="M10" s="991">
        <f ca="1">tertiair!L16</f>
        <v>0</v>
      </c>
      <c r="N10" s="991">
        <f>tertiair!M16</f>
        <v>0</v>
      </c>
      <c r="O10" s="991">
        <f ca="1">tertiair!N16</f>
        <v>4143.594287830585</v>
      </c>
      <c r="P10" s="991">
        <f>tertiair!O16</f>
        <v>0</v>
      </c>
      <c r="Q10" s="992">
        <f>tertiair!P16</f>
        <v>0</v>
      </c>
      <c r="R10" s="675">
        <f ca="1">SUM(C10:Q10)</f>
        <v>71843.341941304563</v>
      </c>
      <c r="S10" s="67"/>
    </row>
    <row r="11" spans="1:19" s="448" customFormat="1">
      <c r="A11" s="784" t="s">
        <v>224</v>
      </c>
      <c r="B11" s="789"/>
      <c r="C11" s="991">
        <f>huishoudens!B8</f>
        <v>44970.245280195631</v>
      </c>
      <c r="D11" s="991">
        <f>huishoudens!C8</f>
        <v>0</v>
      </c>
      <c r="E11" s="991">
        <f>huishoudens!D8</f>
        <v>115163.05409729826</v>
      </c>
      <c r="F11" s="991">
        <f>huishoudens!E8</f>
        <v>17333.494961458757</v>
      </c>
      <c r="G11" s="991">
        <f>huishoudens!F8</f>
        <v>44173.338864636818</v>
      </c>
      <c r="H11" s="991">
        <f>huishoudens!G8</f>
        <v>0</v>
      </c>
      <c r="I11" s="991">
        <f>huishoudens!H8</f>
        <v>0</v>
      </c>
      <c r="J11" s="991">
        <f>huishoudens!I8</f>
        <v>0</v>
      </c>
      <c r="K11" s="991">
        <f>huishoudens!J8</f>
        <v>0</v>
      </c>
      <c r="L11" s="991">
        <f>huishoudens!K8</f>
        <v>0</v>
      </c>
      <c r="M11" s="991">
        <f>huishoudens!L8</f>
        <v>0</v>
      </c>
      <c r="N11" s="991">
        <f>huishoudens!M8</f>
        <v>0</v>
      </c>
      <c r="O11" s="991">
        <f>huishoudens!N8</f>
        <v>7432.1858515683234</v>
      </c>
      <c r="P11" s="991">
        <f>huishoudens!O8</f>
        <v>276.70999999999998</v>
      </c>
      <c r="Q11" s="992">
        <f>huishoudens!P8</f>
        <v>381.33333333333337</v>
      </c>
      <c r="R11" s="675">
        <f>SUM(C11:Q11)</f>
        <v>229730.36238849111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3519.6873699999996</v>
      </c>
      <c r="D13" s="991">
        <f>industrie!C18</f>
        <v>0</v>
      </c>
      <c r="E13" s="991">
        <f>industrie!D18</f>
        <v>3256.9154164412093</v>
      </c>
      <c r="F13" s="991">
        <f>industrie!E18</f>
        <v>469.01334570303436</v>
      </c>
      <c r="G13" s="991">
        <f>industrie!F18</f>
        <v>2097.7267536784116</v>
      </c>
      <c r="H13" s="991">
        <f>industrie!G18</f>
        <v>0</v>
      </c>
      <c r="I13" s="991">
        <f>industrie!H18</f>
        <v>0</v>
      </c>
      <c r="J13" s="991">
        <f>industrie!I18</f>
        <v>0</v>
      </c>
      <c r="K13" s="991">
        <f>industrie!J18</f>
        <v>13.369787937912029</v>
      </c>
      <c r="L13" s="991">
        <f>industrie!K18</f>
        <v>0</v>
      </c>
      <c r="M13" s="991">
        <f>industrie!L18</f>
        <v>0</v>
      </c>
      <c r="N13" s="991">
        <f>industrie!M18</f>
        <v>0</v>
      </c>
      <c r="O13" s="991">
        <f>industrie!N18</f>
        <v>392.48568096722005</v>
      </c>
      <c r="P13" s="991">
        <f>industrie!O18</f>
        <v>0</v>
      </c>
      <c r="Q13" s="992">
        <f>industrie!P18</f>
        <v>0</v>
      </c>
      <c r="R13" s="675">
        <f>SUM(C13:Q13)</f>
        <v>9749.1983547277869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77355.278450195634</v>
      </c>
      <c r="D16" s="707">
        <f t="shared" ref="D16:R16" ca="1" si="0">SUM(D9:D15)</f>
        <v>0</v>
      </c>
      <c r="E16" s="707">
        <f t="shared" ca="1" si="0"/>
        <v>152754.36449908529</v>
      </c>
      <c r="F16" s="707">
        <f t="shared" si="0"/>
        <v>18083.750430159998</v>
      </c>
      <c r="G16" s="707">
        <f t="shared" ca="1" si="0"/>
        <v>50489.83036344518</v>
      </c>
      <c r="H16" s="707">
        <f t="shared" si="0"/>
        <v>0</v>
      </c>
      <c r="I16" s="707">
        <f t="shared" si="0"/>
        <v>0</v>
      </c>
      <c r="J16" s="707">
        <f t="shared" si="0"/>
        <v>0</v>
      </c>
      <c r="K16" s="707">
        <f t="shared" si="0"/>
        <v>13.369787937912029</v>
      </c>
      <c r="L16" s="707">
        <f t="shared" si="0"/>
        <v>0</v>
      </c>
      <c r="M16" s="707">
        <f t="shared" ca="1" si="0"/>
        <v>0</v>
      </c>
      <c r="N16" s="707">
        <f t="shared" si="0"/>
        <v>0</v>
      </c>
      <c r="O16" s="707">
        <f t="shared" ca="1" si="0"/>
        <v>11968.265820366129</v>
      </c>
      <c r="P16" s="707">
        <f t="shared" si="0"/>
        <v>276.70999999999998</v>
      </c>
      <c r="Q16" s="707">
        <f t="shared" si="0"/>
        <v>381.33333333333337</v>
      </c>
      <c r="R16" s="707">
        <f t="shared" ca="1" si="0"/>
        <v>311322.90268452343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4050.5830806164536</v>
      </c>
      <c r="I19" s="991">
        <f>transport!H54</f>
        <v>0</v>
      </c>
      <c r="J19" s="991">
        <f>transport!I54</f>
        <v>0</v>
      </c>
      <c r="K19" s="991">
        <f>transport!J54</f>
        <v>0</v>
      </c>
      <c r="L19" s="991">
        <f>transport!K54</f>
        <v>0</v>
      </c>
      <c r="M19" s="991">
        <f>transport!L54</f>
        <v>0</v>
      </c>
      <c r="N19" s="991">
        <f>transport!M54</f>
        <v>231.51900009635759</v>
      </c>
      <c r="O19" s="991">
        <f>transport!N54</f>
        <v>0</v>
      </c>
      <c r="P19" s="991">
        <f>transport!O54</f>
        <v>0</v>
      </c>
      <c r="Q19" s="992">
        <f>transport!P54</f>
        <v>0</v>
      </c>
      <c r="R19" s="675">
        <f>SUM(C19:Q19)</f>
        <v>4282.1020807128116</v>
      </c>
      <c r="S19" s="67"/>
    </row>
    <row r="20" spans="1:19" s="448" customFormat="1">
      <c r="A20" s="784" t="s">
        <v>306</v>
      </c>
      <c r="B20" s="789"/>
      <c r="C20" s="991">
        <f>transport!B14</f>
        <v>39.935158492949022</v>
      </c>
      <c r="D20" s="991">
        <f>transport!C14</f>
        <v>0</v>
      </c>
      <c r="E20" s="991">
        <f>transport!D14</f>
        <v>77.083503622269575</v>
      </c>
      <c r="F20" s="991">
        <f>transport!E14</f>
        <v>841.83748222701161</v>
      </c>
      <c r="G20" s="991">
        <f>transport!F14</f>
        <v>0</v>
      </c>
      <c r="H20" s="991">
        <f>transport!G14</f>
        <v>235904.56999188222</v>
      </c>
      <c r="I20" s="991">
        <f>transport!H14</f>
        <v>48081.173443690306</v>
      </c>
      <c r="J20" s="991">
        <f>transport!I14</f>
        <v>0</v>
      </c>
      <c r="K20" s="991">
        <f>transport!J14</f>
        <v>0</v>
      </c>
      <c r="L20" s="991">
        <f>transport!K14</f>
        <v>0</v>
      </c>
      <c r="M20" s="991">
        <f>transport!L14</f>
        <v>0</v>
      </c>
      <c r="N20" s="991">
        <f>transport!M14</f>
        <v>15143.688619855731</v>
      </c>
      <c r="O20" s="991">
        <f>transport!N14</f>
        <v>0</v>
      </c>
      <c r="P20" s="991">
        <f>transport!O14</f>
        <v>0</v>
      </c>
      <c r="Q20" s="992">
        <f>transport!P14</f>
        <v>0</v>
      </c>
      <c r="R20" s="675">
        <f>SUM(C20:Q20)</f>
        <v>300088.2881997705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39.935158492949022</v>
      </c>
      <c r="D22" s="787">
        <f t="shared" ref="D22:R22" si="1">SUM(D18:D21)</f>
        <v>0</v>
      </c>
      <c r="E22" s="787">
        <f t="shared" si="1"/>
        <v>77.083503622269575</v>
      </c>
      <c r="F22" s="787">
        <f t="shared" si="1"/>
        <v>841.83748222701161</v>
      </c>
      <c r="G22" s="787">
        <f t="shared" si="1"/>
        <v>0</v>
      </c>
      <c r="H22" s="787">
        <f t="shared" si="1"/>
        <v>239955.15307249868</v>
      </c>
      <c r="I22" s="787">
        <f t="shared" si="1"/>
        <v>48081.173443690306</v>
      </c>
      <c r="J22" s="787">
        <f t="shared" si="1"/>
        <v>0</v>
      </c>
      <c r="K22" s="787">
        <f t="shared" si="1"/>
        <v>0</v>
      </c>
      <c r="L22" s="787">
        <f t="shared" si="1"/>
        <v>0</v>
      </c>
      <c r="M22" s="787">
        <f t="shared" si="1"/>
        <v>0</v>
      </c>
      <c r="N22" s="787">
        <f t="shared" si="1"/>
        <v>15375.207619952089</v>
      </c>
      <c r="O22" s="787">
        <f t="shared" si="1"/>
        <v>0</v>
      </c>
      <c r="P22" s="787">
        <f t="shared" si="1"/>
        <v>0</v>
      </c>
      <c r="Q22" s="787">
        <f t="shared" si="1"/>
        <v>0</v>
      </c>
      <c r="R22" s="787">
        <f t="shared" si="1"/>
        <v>304370.39028048329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615.78168999999991</v>
      </c>
      <c r="D24" s="991">
        <f>+landbouw!C8</f>
        <v>0</v>
      </c>
      <c r="E24" s="991">
        <f>+landbouw!D8</f>
        <v>1088.8943737456177</v>
      </c>
      <c r="F24" s="991">
        <f>+landbouw!E8</f>
        <v>5.7036279258596378</v>
      </c>
      <c r="G24" s="991">
        <f>+landbouw!F8</f>
        <v>1562.3554538215626</v>
      </c>
      <c r="H24" s="991">
        <f>+landbouw!G8</f>
        <v>0</v>
      </c>
      <c r="I24" s="991">
        <f>+landbouw!H8</f>
        <v>0</v>
      </c>
      <c r="J24" s="991">
        <f>+landbouw!I8</f>
        <v>0</v>
      </c>
      <c r="K24" s="991">
        <f>+landbouw!J8</f>
        <v>94.406205220717396</v>
      </c>
      <c r="L24" s="991">
        <f>+landbouw!K8</f>
        <v>0</v>
      </c>
      <c r="M24" s="991">
        <f>+landbouw!L8</f>
        <v>0</v>
      </c>
      <c r="N24" s="991">
        <f>+landbouw!M8</f>
        <v>0</v>
      </c>
      <c r="O24" s="991">
        <f>+landbouw!N8</f>
        <v>0</v>
      </c>
      <c r="P24" s="991">
        <f>+landbouw!O8</f>
        <v>0</v>
      </c>
      <c r="Q24" s="992">
        <f>+landbouw!P8</f>
        <v>0</v>
      </c>
      <c r="R24" s="675">
        <f>SUM(C24:Q24)</f>
        <v>3367.1413507137572</v>
      </c>
      <c r="S24" s="67"/>
    </row>
    <row r="25" spans="1:19" s="448" customFormat="1" ht="15" thickBot="1">
      <c r="A25" s="806" t="s">
        <v>849</v>
      </c>
      <c r="B25" s="994"/>
      <c r="C25" s="995">
        <f>IF(Onbekend_ele_kWh="---",0,Onbekend_ele_kWh)/1000+IF(REST_rest_ele_kWh="---",0,REST_rest_ele_kWh)/1000</f>
        <v>1592.14</v>
      </c>
      <c r="D25" s="995"/>
      <c r="E25" s="995">
        <f>IF(onbekend_gas_kWh="---",0,onbekend_gas_kWh)/1000+IF(REST_rest_gas_kWh="---",0,REST_rest_gas_kWh)/1000</f>
        <v>5195.1222903779399</v>
      </c>
      <c r="F25" s="995"/>
      <c r="G25" s="995"/>
      <c r="H25" s="995"/>
      <c r="I25" s="995"/>
      <c r="J25" s="995"/>
      <c r="K25" s="995"/>
      <c r="L25" s="995"/>
      <c r="M25" s="995"/>
      <c r="N25" s="995"/>
      <c r="O25" s="995"/>
      <c r="P25" s="995"/>
      <c r="Q25" s="996"/>
      <c r="R25" s="675">
        <f>SUM(C25:Q25)</f>
        <v>6787.2622903779402</v>
      </c>
      <c r="S25" s="67"/>
    </row>
    <row r="26" spans="1:19" s="448" customFormat="1" ht="15.75" thickBot="1">
      <c r="A26" s="680" t="s">
        <v>850</v>
      </c>
      <c r="B26" s="792"/>
      <c r="C26" s="787">
        <f>SUM(C24:C25)</f>
        <v>2207.9216900000001</v>
      </c>
      <c r="D26" s="787">
        <f t="shared" ref="D26:R26" si="2">SUM(D24:D25)</f>
        <v>0</v>
      </c>
      <c r="E26" s="787">
        <f t="shared" si="2"/>
        <v>6284.0166641235573</v>
      </c>
      <c r="F26" s="787">
        <f t="shared" si="2"/>
        <v>5.7036279258596378</v>
      </c>
      <c r="G26" s="787">
        <f t="shared" si="2"/>
        <v>1562.3554538215626</v>
      </c>
      <c r="H26" s="787">
        <f t="shared" si="2"/>
        <v>0</v>
      </c>
      <c r="I26" s="787">
        <f t="shared" si="2"/>
        <v>0</v>
      </c>
      <c r="J26" s="787">
        <f t="shared" si="2"/>
        <v>0</v>
      </c>
      <c r="K26" s="787">
        <f t="shared" si="2"/>
        <v>94.406205220717396</v>
      </c>
      <c r="L26" s="787">
        <f t="shared" si="2"/>
        <v>0</v>
      </c>
      <c r="M26" s="787">
        <f t="shared" si="2"/>
        <v>0</v>
      </c>
      <c r="N26" s="787">
        <f t="shared" si="2"/>
        <v>0</v>
      </c>
      <c r="O26" s="787">
        <f t="shared" si="2"/>
        <v>0</v>
      </c>
      <c r="P26" s="787">
        <f t="shared" si="2"/>
        <v>0</v>
      </c>
      <c r="Q26" s="787">
        <f t="shared" si="2"/>
        <v>0</v>
      </c>
      <c r="R26" s="787">
        <f t="shared" si="2"/>
        <v>10154.403641091698</v>
      </c>
      <c r="S26" s="67"/>
    </row>
    <row r="27" spans="1:19" s="448" customFormat="1" ht="17.25" thickTop="1" thickBot="1">
      <c r="A27" s="681" t="s">
        <v>115</v>
      </c>
      <c r="B27" s="780"/>
      <c r="C27" s="682">
        <f ca="1">C22+C16+C26</f>
        <v>79603.13529868859</v>
      </c>
      <c r="D27" s="682">
        <f t="shared" ref="D27:R27" ca="1" si="3">D22+D16+D26</f>
        <v>0</v>
      </c>
      <c r="E27" s="682">
        <f t="shared" ca="1" si="3"/>
        <v>159115.46466683113</v>
      </c>
      <c r="F27" s="682">
        <f t="shared" si="3"/>
        <v>18931.291540312872</v>
      </c>
      <c r="G27" s="682">
        <f t="shared" ca="1" si="3"/>
        <v>52052.185817266742</v>
      </c>
      <c r="H27" s="682">
        <f t="shared" si="3"/>
        <v>239955.15307249868</v>
      </c>
      <c r="I27" s="682">
        <f t="shared" si="3"/>
        <v>48081.173443690306</v>
      </c>
      <c r="J27" s="682">
        <f t="shared" si="3"/>
        <v>0</v>
      </c>
      <c r="K27" s="682">
        <f t="shared" si="3"/>
        <v>107.77599315862943</v>
      </c>
      <c r="L27" s="682">
        <f t="shared" si="3"/>
        <v>0</v>
      </c>
      <c r="M27" s="682">
        <f t="shared" ca="1" si="3"/>
        <v>0</v>
      </c>
      <c r="N27" s="682">
        <f t="shared" si="3"/>
        <v>15375.207619952089</v>
      </c>
      <c r="O27" s="682">
        <f t="shared" ca="1" si="3"/>
        <v>11968.265820366129</v>
      </c>
      <c r="P27" s="682">
        <f t="shared" si="3"/>
        <v>276.70999999999998</v>
      </c>
      <c r="Q27" s="682">
        <f t="shared" si="3"/>
        <v>381.33333333333337</v>
      </c>
      <c r="R27" s="682">
        <f t="shared" ca="1" si="3"/>
        <v>625847.69660609844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6130.2543942263837</v>
      </c>
      <c r="D40" s="991">
        <f ca="1">tertiair!C20</f>
        <v>0</v>
      </c>
      <c r="E40" s="991">
        <f ca="1">tertiair!D20</f>
        <v>6935.547787039859</v>
      </c>
      <c r="F40" s="991">
        <f>tertiair!E20</f>
        <v>63.841961920592688</v>
      </c>
      <c r="G40" s="991">
        <f ca="1">tertiair!F20</f>
        <v>1126.4101869496958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14256.054330136531</v>
      </c>
    </row>
    <row r="41" spans="1:18">
      <c r="A41" s="797" t="s">
        <v>224</v>
      </c>
      <c r="B41" s="804"/>
      <c r="C41" s="991">
        <f ca="1">huishoudens!B12</f>
        <v>9550.5193545388793</v>
      </c>
      <c r="D41" s="991">
        <f ca="1">huishoudens!C12</f>
        <v>0</v>
      </c>
      <c r="E41" s="991">
        <f>huishoudens!D12</f>
        <v>23262.936927654249</v>
      </c>
      <c r="F41" s="991">
        <f>huishoudens!E12</f>
        <v>3934.7033562511378</v>
      </c>
      <c r="G41" s="991">
        <f>huishoudens!F12</f>
        <v>11794.281476858032</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48542.441115302296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747.49074948707528</v>
      </c>
      <c r="D43" s="991">
        <f ca="1">industrie!C22</f>
        <v>0</v>
      </c>
      <c r="E43" s="991">
        <f>industrie!D22</f>
        <v>657.89691412112438</v>
      </c>
      <c r="F43" s="991">
        <f>industrie!E22</f>
        <v>106.46602947458881</v>
      </c>
      <c r="G43" s="991">
        <f>industrie!F22</f>
        <v>560.09304323213587</v>
      </c>
      <c r="H43" s="991">
        <f>industrie!G22</f>
        <v>0</v>
      </c>
      <c r="I43" s="991">
        <f>industrie!H22</f>
        <v>0</v>
      </c>
      <c r="J43" s="991">
        <f>industrie!I22</f>
        <v>0</v>
      </c>
      <c r="K43" s="991">
        <f>industrie!J22</f>
        <v>4.7329049300208581</v>
      </c>
      <c r="L43" s="991">
        <f>industrie!K22</f>
        <v>0</v>
      </c>
      <c r="M43" s="991">
        <f>industrie!L22</f>
        <v>0</v>
      </c>
      <c r="N43" s="991">
        <f>industrie!M22</f>
        <v>0</v>
      </c>
      <c r="O43" s="991">
        <f>industrie!N22</f>
        <v>0</v>
      </c>
      <c r="P43" s="991">
        <f>industrie!O22</f>
        <v>0</v>
      </c>
      <c r="Q43" s="749">
        <f>industrie!P22</f>
        <v>0</v>
      </c>
      <c r="R43" s="824">
        <f t="shared" ca="1" si="4"/>
        <v>2076.6796412449453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16428.264498252338</v>
      </c>
      <c r="D46" s="707">
        <f t="shared" ref="D46:Q46" ca="1" si="5">SUM(D39:D45)</f>
        <v>0</v>
      </c>
      <c r="E46" s="707">
        <f t="shared" ca="1" si="5"/>
        <v>30856.381628815234</v>
      </c>
      <c r="F46" s="707">
        <f t="shared" si="5"/>
        <v>4105.0113476463193</v>
      </c>
      <c r="G46" s="707">
        <f t="shared" ca="1" si="5"/>
        <v>13480.784707039864</v>
      </c>
      <c r="H46" s="707">
        <f t="shared" si="5"/>
        <v>0</v>
      </c>
      <c r="I46" s="707">
        <f t="shared" si="5"/>
        <v>0</v>
      </c>
      <c r="J46" s="707">
        <f t="shared" si="5"/>
        <v>0</v>
      </c>
      <c r="K46" s="707">
        <f t="shared" si="5"/>
        <v>4.7329049300208581</v>
      </c>
      <c r="L46" s="707">
        <f t="shared" si="5"/>
        <v>0</v>
      </c>
      <c r="M46" s="707">
        <f t="shared" ca="1" si="5"/>
        <v>0</v>
      </c>
      <c r="N46" s="707">
        <f t="shared" si="5"/>
        <v>0</v>
      </c>
      <c r="O46" s="707">
        <f t="shared" ca="1" si="5"/>
        <v>0</v>
      </c>
      <c r="P46" s="707">
        <f t="shared" si="5"/>
        <v>0</v>
      </c>
      <c r="Q46" s="707">
        <f t="shared" si="5"/>
        <v>0</v>
      </c>
      <c r="R46" s="707">
        <f ca="1">SUM(R39:R45)</f>
        <v>64875.175086683776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1081.5056825245931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1081.5056825245931</v>
      </c>
    </row>
    <row r="50" spans="1:18">
      <c r="A50" s="800" t="s">
        <v>306</v>
      </c>
      <c r="B50" s="810"/>
      <c r="C50" s="678">
        <f ca="1">transport!B18</f>
        <v>8.4811968833412639</v>
      </c>
      <c r="D50" s="678">
        <f>transport!C18</f>
        <v>0</v>
      </c>
      <c r="E50" s="678">
        <f>transport!D18</f>
        <v>15.570867731698455</v>
      </c>
      <c r="F50" s="678">
        <f>transport!E18</f>
        <v>191.09710846553165</v>
      </c>
      <c r="G50" s="678">
        <f>transport!F18</f>
        <v>0</v>
      </c>
      <c r="H50" s="678">
        <f>transport!G18</f>
        <v>62986.520187832553</v>
      </c>
      <c r="I50" s="678">
        <f>transport!H18</f>
        <v>11972.212187478886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75173.881548392004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8.4811968833412639</v>
      </c>
      <c r="D52" s="707">
        <f t="shared" ref="D52:Q52" ca="1" si="6">SUM(D48:D51)</f>
        <v>0</v>
      </c>
      <c r="E52" s="707">
        <f t="shared" si="6"/>
        <v>15.570867731698455</v>
      </c>
      <c r="F52" s="707">
        <f t="shared" si="6"/>
        <v>191.09710846553165</v>
      </c>
      <c r="G52" s="707">
        <f t="shared" si="6"/>
        <v>0</v>
      </c>
      <c r="H52" s="707">
        <f t="shared" si="6"/>
        <v>64068.025870357145</v>
      </c>
      <c r="I52" s="707">
        <f t="shared" si="6"/>
        <v>11972.212187478886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76255.387230916604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130.77613679606944</v>
      </c>
      <c r="D54" s="678">
        <f ca="1">+landbouw!C12</f>
        <v>0</v>
      </c>
      <c r="E54" s="678">
        <f>+landbouw!D12</f>
        <v>219.95666349661479</v>
      </c>
      <c r="F54" s="678">
        <f>+landbouw!E12</f>
        <v>1.2947235391701379</v>
      </c>
      <c r="G54" s="678">
        <f>+landbouw!F12</f>
        <v>417.14890617035724</v>
      </c>
      <c r="H54" s="678">
        <f>+landbouw!G12</f>
        <v>0</v>
      </c>
      <c r="I54" s="678">
        <f>+landbouw!H12</f>
        <v>0</v>
      </c>
      <c r="J54" s="678">
        <f>+landbouw!I12</f>
        <v>0</v>
      </c>
      <c r="K54" s="678">
        <f>+landbouw!J12</f>
        <v>33.419796648133953</v>
      </c>
      <c r="L54" s="678">
        <f>+landbouw!K12</f>
        <v>0</v>
      </c>
      <c r="M54" s="678">
        <f>+landbouw!L12</f>
        <v>0</v>
      </c>
      <c r="N54" s="678">
        <f>+landbouw!M12</f>
        <v>0</v>
      </c>
      <c r="O54" s="678">
        <f>+landbouw!N12</f>
        <v>0</v>
      </c>
      <c r="P54" s="678">
        <f>+landbouw!O12</f>
        <v>0</v>
      </c>
      <c r="Q54" s="679">
        <f>+landbouw!P12</f>
        <v>0</v>
      </c>
      <c r="R54" s="706">
        <f ca="1">SUM(C54:Q54)</f>
        <v>802.59622665034556</v>
      </c>
    </row>
    <row r="55" spans="1:18" ht="15" thickBot="1">
      <c r="A55" s="800" t="s">
        <v>849</v>
      </c>
      <c r="B55" s="810"/>
      <c r="C55" s="678">
        <f ca="1">C25*'EF ele_warmte'!B12</f>
        <v>338.12944070892075</v>
      </c>
      <c r="D55" s="678"/>
      <c r="E55" s="678">
        <f>E25*EF_CO2_aardgas</f>
        <v>1049.4147026563439</v>
      </c>
      <c r="F55" s="678"/>
      <c r="G55" s="678"/>
      <c r="H55" s="678"/>
      <c r="I55" s="678"/>
      <c r="J55" s="678"/>
      <c r="K55" s="678"/>
      <c r="L55" s="678"/>
      <c r="M55" s="678"/>
      <c r="N55" s="678"/>
      <c r="O55" s="678"/>
      <c r="P55" s="678"/>
      <c r="Q55" s="679"/>
      <c r="R55" s="706">
        <f ca="1">SUM(C55:Q55)</f>
        <v>1387.5441433652647</v>
      </c>
    </row>
    <row r="56" spans="1:18" ht="15.75" thickBot="1">
      <c r="A56" s="798" t="s">
        <v>850</v>
      </c>
      <c r="B56" s="811"/>
      <c r="C56" s="707">
        <f ca="1">SUM(C54:C55)</f>
        <v>468.90557750499022</v>
      </c>
      <c r="D56" s="707">
        <f t="shared" ref="D56:Q56" ca="1" si="7">SUM(D54:D55)</f>
        <v>0</v>
      </c>
      <c r="E56" s="707">
        <f t="shared" si="7"/>
        <v>1269.3713661529587</v>
      </c>
      <c r="F56" s="707">
        <f t="shared" si="7"/>
        <v>1.2947235391701379</v>
      </c>
      <c r="G56" s="707">
        <f t="shared" si="7"/>
        <v>417.14890617035724</v>
      </c>
      <c r="H56" s="707">
        <f t="shared" si="7"/>
        <v>0</v>
      </c>
      <c r="I56" s="707">
        <f t="shared" si="7"/>
        <v>0</v>
      </c>
      <c r="J56" s="707">
        <f t="shared" si="7"/>
        <v>0</v>
      </c>
      <c r="K56" s="707">
        <f t="shared" si="7"/>
        <v>33.419796648133953</v>
      </c>
      <c r="L56" s="707">
        <f t="shared" si="7"/>
        <v>0</v>
      </c>
      <c r="M56" s="707">
        <f t="shared" si="7"/>
        <v>0</v>
      </c>
      <c r="N56" s="707">
        <f t="shared" si="7"/>
        <v>0</v>
      </c>
      <c r="O56" s="707">
        <f t="shared" si="7"/>
        <v>0</v>
      </c>
      <c r="P56" s="707">
        <f t="shared" si="7"/>
        <v>0</v>
      </c>
      <c r="Q56" s="708">
        <f t="shared" si="7"/>
        <v>0</v>
      </c>
      <c r="R56" s="709">
        <f ca="1">SUM(R54:R55)</f>
        <v>2190.1403700156102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16905.651272640669</v>
      </c>
      <c r="D61" s="715">
        <f t="shared" ref="D61:Q61" ca="1" si="8">D46+D52+D56</f>
        <v>0</v>
      </c>
      <c r="E61" s="715">
        <f t="shared" ca="1" si="8"/>
        <v>32141.32386269989</v>
      </c>
      <c r="F61" s="715">
        <f t="shared" si="8"/>
        <v>4297.4031796510217</v>
      </c>
      <c r="G61" s="715">
        <f t="shared" ca="1" si="8"/>
        <v>13897.933613210222</v>
      </c>
      <c r="H61" s="715">
        <f t="shared" si="8"/>
        <v>64068.025870357145</v>
      </c>
      <c r="I61" s="715">
        <f t="shared" si="8"/>
        <v>11972.212187478886</v>
      </c>
      <c r="J61" s="715">
        <f t="shared" si="8"/>
        <v>0</v>
      </c>
      <c r="K61" s="715">
        <f t="shared" si="8"/>
        <v>38.152701578154812</v>
      </c>
      <c r="L61" s="715">
        <f t="shared" si="8"/>
        <v>0</v>
      </c>
      <c r="M61" s="715">
        <f t="shared" ca="1" si="8"/>
        <v>0</v>
      </c>
      <c r="N61" s="715">
        <f t="shared" si="8"/>
        <v>0</v>
      </c>
      <c r="O61" s="715">
        <f t="shared" ca="1" si="8"/>
        <v>0</v>
      </c>
      <c r="P61" s="715">
        <f t="shared" si="8"/>
        <v>0</v>
      </c>
      <c r="Q61" s="715">
        <f t="shared" si="8"/>
        <v>0</v>
      </c>
      <c r="R61" s="715">
        <f ca="1">R46+R52+R56</f>
        <v>143320.70268761599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0.21237418864479296</v>
      </c>
      <c r="D63" s="756">
        <f t="shared" ca="1" si="9"/>
        <v>0</v>
      </c>
      <c r="E63" s="1002">
        <f t="shared" ca="1" si="9"/>
        <v>0.20200000000000001</v>
      </c>
      <c r="F63" s="756">
        <f t="shared" si="9"/>
        <v>0.22699999999999998</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29.585650224215247</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3077.3900437554521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3106.9756939796675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44970.245280195631</v>
      </c>
      <c r="C4" s="452">
        <f>huishoudens!C8</f>
        <v>0</v>
      </c>
      <c r="D4" s="452">
        <f>huishoudens!D8</f>
        <v>115163.05409729826</v>
      </c>
      <c r="E4" s="452">
        <f>huishoudens!E8</f>
        <v>17333.494961458757</v>
      </c>
      <c r="F4" s="452">
        <f>huishoudens!F8</f>
        <v>44173.338864636818</v>
      </c>
      <c r="G4" s="452">
        <f>huishoudens!G8</f>
        <v>0</v>
      </c>
      <c r="H4" s="452">
        <f>huishoudens!H8</f>
        <v>0</v>
      </c>
      <c r="I4" s="452">
        <f>huishoudens!I8</f>
        <v>0</v>
      </c>
      <c r="J4" s="452">
        <f>huishoudens!J8</f>
        <v>0</v>
      </c>
      <c r="K4" s="452">
        <f>huishoudens!K8</f>
        <v>0</v>
      </c>
      <c r="L4" s="452">
        <f>huishoudens!L8</f>
        <v>0</v>
      </c>
      <c r="M4" s="452">
        <f>huishoudens!M8</f>
        <v>0</v>
      </c>
      <c r="N4" s="452">
        <f>huishoudens!N8</f>
        <v>7432.1858515683234</v>
      </c>
      <c r="O4" s="452">
        <f>huishoudens!O8</f>
        <v>276.70999999999998</v>
      </c>
      <c r="P4" s="453">
        <f>huishoudens!P8</f>
        <v>381.33333333333337</v>
      </c>
      <c r="Q4" s="454">
        <f>SUM(B4:P4)</f>
        <v>229730.36238849111</v>
      </c>
    </row>
    <row r="5" spans="1:17">
      <c r="A5" s="451" t="s">
        <v>155</v>
      </c>
      <c r="B5" s="452">
        <f ca="1">tertiair!B16</f>
        <v>26845.755799999999</v>
      </c>
      <c r="C5" s="452">
        <f ca="1">tertiair!C16</f>
        <v>0</v>
      </c>
      <c r="D5" s="452">
        <f ca="1">tertiair!D16</f>
        <v>34334.394985345833</v>
      </c>
      <c r="E5" s="452">
        <f>tertiair!E16</f>
        <v>281.24212299820567</v>
      </c>
      <c r="F5" s="452">
        <f ca="1">tertiair!F16</f>
        <v>4218.7647451299463</v>
      </c>
      <c r="G5" s="452">
        <f>tertiair!G16</f>
        <v>0</v>
      </c>
      <c r="H5" s="452">
        <f>tertiair!H16</f>
        <v>0</v>
      </c>
      <c r="I5" s="452">
        <f>tertiair!I16</f>
        <v>0</v>
      </c>
      <c r="J5" s="452">
        <f>tertiair!J16</f>
        <v>0</v>
      </c>
      <c r="K5" s="452">
        <f>tertiair!K16</f>
        <v>0</v>
      </c>
      <c r="L5" s="452">
        <f ca="1">tertiair!L16</f>
        <v>0</v>
      </c>
      <c r="M5" s="452">
        <f>tertiair!M16</f>
        <v>0</v>
      </c>
      <c r="N5" s="452">
        <f ca="1">tertiair!N16</f>
        <v>4143.594287830585</v>
      </c>
      <c r="O5" s="452">
        <f>tertiair!O16</f>
        <v>0</v>
      </c>
      <c r="P5" s="453">
        <f>tertiair!P16</f>
        <v>0</v>
      </c>
      <c r="Q5" s="451">
        <f t="shared" ref="Q5:Q14" ca="1" si="0">SUM(B5:P5)</f>
        <v>69823.751941304567</v>
      </c>
    </row>
    <row r="6" spans="1:17">
      <c r="A6" s="451" t="s">
        <v>193</v>
      </c>
      <c r="B6" s="452">
        <f>'openbare verlichting'!B8</f>
        <v>2019.59</v>
      </c>
      <c r="C6" s="452"/>
      <c r="D6" s="452"/>
      <c r="E6" s="452"/>
      <c r="F6" s="452"/>
      <c r="G6" s="452"/>
      <c r="H6" s="452"/>
      <c r="I6" s="452"/>
      <c r="J6" s="452"/>
      <c r="K6" s="452"/>
      <c r="L6" s="452"/>
      <c r="M6" s="452"/>
      <c r="N6" s="452"/>
      <c r="O6" s="452"/>
      <c r="P6" s="453"/>
      <c r="Q6" s="451">
        <f t="shared" si="0"/>
        <v>2019.59</v>
      </c>
    </row>
    <row r="7" spans="1:17">
      <c r="A7" s="451" t="s">
        <v>111</v>
      </c>
      <c r="B7" s="452">
        <f>landbouw!B8</f>
        <v>615.78168999999991</v>
      </c>
      <c r="C7" s="452">
        <f>landbouw!C8</f>
        <v>0</v>
      </c>
      <c r="D7" s="452">
        <f>landbouw!D8</f>
        <v>1088.8943737456177</v>
      </c>
      <c r="E7" s="452">
        <f>landbouw!E8</f>
        <v>5.7036279258596378</v>
      </c>
      <c r="F7" s="452">
        <f>landbouw!F8</f>
        <v>1562.3554538215626</v>
      </c>
      <c r="G7" s="452">
        <f>landbouw!G8</f>
        <v>0</v>
      </c>
      <c r="H7" s="452">
        <f>landbouw!H8</f>
        <v>0</v>
      </c>
      <c r="I7" s="452">
        <f>landbouw!I8</f>
        <v>0</v>
      </c>
      <c r="J7" s="452">
        <f>landbouw!J8</f>
        <v>94.406205220717396</v>
      </c>
      <c r="K7" s="452">
        <f>landbouw!K8</f>
        <v>0</v>
      </c>
      <c r="L7" s="452">
        <f>landbouw!L8</f>
        <v>0</v>
      </c>
      <c r="M7" s="452">
        <f>landbouw!M8</f>
        <v>0</v>
      </c>
      <c r="N7" s="452">
        <f>landbouw!N8</f>
        <v>0</v>
      </c>
      <c r="O7" s="452">
        <f>landbouw!O8</f>
        <v>0</v>
      </c>
      <c r="P7" s="453">
        <f>landbouw!P8</f>
        <v>0</v>
      </c>
      <c r="Q7" s="451">
        <f t="shared" si="0"/>
        <v>3367.1413507137572</v>
      </c>
    </row>
    <row r="8" spans="1:17">
      <c r="A8" s="451" t="s">
        <v>649</v>
      </c>
      <c r="B8" s="452">
        <f>industrie!B18</f>
        <v>3519.6873699999996</v>
      </c>
      <c r="C8" s="452">
        <f>industrie!C18</f>
        <v>0</v>
      </c>
      <c r="D8" s="452">
        <f>industrie!D18</f>
        <v>3256.9154164412093</v>
      </c>
      <c r="E8" s="452">
        <f>industrie!E18</f>
        <v>469.01334570303436</v>
      </c>
      <c r="F8" s="452">
        <f>industrie!F18</f>
        <v>2097.7267536784116</v>
      </c>
      <c r="G8" s="452">
        <f>industrie!G18</f>
        <v>0</v>
      </c>
      <c r="H8" s="452">
        <f>industrie!H18</f>
        <v>0</v>
      </c>
      <c r="I8" s="452">
        <f>industrie!I18</f>
        <v>0</v>
      </c>
      <c r="J8" s="452">
        <f>industrie!J18</f>
        <v>13.369787937912029</v>
      </c>
      <c r="K8" s="452">
        <f>industrie!K18</f>
        <v>0</v>
      </c>
      <c r="L8" s="452">
        <f>industrie!L18</f>
        <v>0</v>
      </c>
      <c r="M8" s="452">
        <f>industrie!M18</f>
        <v>0</v>
      </c>
      <c r="N8" s="452">
        <f>industrie!N18</f>
        <v>392.48568096722005</v>
      </c>
      <c r="O8" s="452">
        <f>industrie!O18</f>
        <v>0</v>
      </c>
      <c r="P8" s="453">
        <f>industrie!P18</f>
        <v>0</v>
      </c>
      <c r="Q8" s="451">
        <f t="shared" si="0"/>
        <v>9749.1983547277869</v>
      </c>
    </row>
    <row r="9" spans="1:17" s="457" customFormat="1">
      <c r="A9" s="455" t="s">
        <v>570</v>
      </c>
      <c r="B9" s="456">
        <f>transport!B14</f>
        <v>39.935158492949022</v>
      </c>
      <c r="C9" s="456">
        <f>transport!C14</f>
        <v>0</v>
      </c>
      <c r="D9" s="456">
        <f>transport!D14</f>
        <v>77.083503622269575</v>
      </c>
      <c r="E9" s="456">
        <f>transport!E14</f>
        <v>841.83748222701161</v>
      </c>
      <c r="F9" s="456">
        <f>transport!F14</f>
        <v>0</v>
      </c>
      <c r="G9" s="456">
        <f>transport!G14</f>
        <v>235904.56999188222</v>
      </c>
      <c r="H9" s="456">
        <f>transport!H14</f>
        <v>48081.173443690306</v>
      </c>
      <c r="I9" s="456">
        <f>transport!I14</f>
        <v>0</v>
      </c>
      <c r="J9" s="456">
        <f>transport!J14</f>
        <v>0</v>
      </c>
      <c r="K9" s="456">
        <f>transport!K14</f>
        <v>0</v>
      </c>
      <c r="L9" s="456">
        <f>transport!L14</f>
        <v>0</v>
      </c>
      <c r="M9" s="456">
        <f>transport!M14</f>
        <v>15143.688619855731</v>
      </c>
      <c r="N9" s="456">
        <f>transport!N14</f>
        <v>0</v>
      </c>
      <c r="O9" s="456">
        <f>transport!O14</f>
        <v>0</v>
      </c>
      <c r="P9" s="456">
        <f>transport!P14</f>
        <v>0</v>
      </c>
      <c r="Q9" s="455">
        <f>SUM(B9:P9)</f>
        <v>300088.2881997705</v>
      </c>
    </row>
    <row r="10" spans="1:17">
      <c r="A10" s="451" t="s">
        <v>560</v>
      </c>
      <c r="B10" s="452">
        <f>transport!B54</f>
        <v>0</v>
      </c>
      <c r="C10" s="452">
        <f>transport!C54</f>
        <v>0</v>
      </c>
      <c r="D10" s="452">
        <f>transport!D54</f>
        <v>0</v>
      </c>
      <c r="E10" s="452">
        <f>transport!E54</f>
        <v>0</v>
      </c>
      <c r="F10" s="452">
        <f>transport!F54</f>
        <v>0</v>
      </c>
      <c r="G10" s="452">
        <f>transport!G54</f>
        <v>4050.5830806164536</v>
      </c>
      <c r="H10" s="452">
        <f>transport!H54</f>
        <v>0</v>
      </c>
      <c r="I10" s="452">
        <f>transport!I54</f>
        <v>0</v>
      </c>
      <c r="J10" s="452">
        <f>transport!J54</f>
        <v>0</v>
      </c>
      <c r="K10" s="452">
        <f>transport!K54</f>
        <v>0</v>
      </c>
      <c r="L10" s="452">
        <f>transport!L54</f>
        <v>0</v>
      </c>
      <c r="M10" s="452">
        <f>transport!M54</f>
        <v>231.51900009635759</v>
      </c>
      <c r="N10" s="452">
        <f>transport!N54</f>
        <v>0</v>
      </c>
      <c r="O10" s="452">
        <f>transport!O54</f>
        <v>0</v>
      </c>
      <c r="P10" s="453">
        <f>transport!P54</f>
        <v>0</v>
      </c>
      <c r="Q10" s="451">
        <f t="shared" si="0"/>
        <v>4282.1020807128116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1592.14</v>
      </c>
      <c r="C14" s="459"/>
      <c r="D14" s="459">
        <f>'SEAP template'!E25</f>
        <v>5195.1222903779399</v>
      </c>
      <c r="E14" s="459"/>
      <c r="F14" s="459"/>
      <c r="G14" s="459"/>
      <c r="H14" s="459"/>
      <c r="I14" s="459"/>
      <c r="J14" s="459"/>
      <c r="K14" s="459"/>
      <c r="L14" s="459"/>
      <c r="M14" s="459"/>
      <c r="N14" s="459"/>
      <c r="O14" s="459"/>
      <c r="P14" s="460"/>
      <c r="Q14" s="451">
        <f t="shared" si="0"/>
        <v>6787.2622903779402</v>
      </c>
    </row>
    <row r="15" spans="1:17" s="461" customFormat="1">
      <c r="A15" s="1017" t="s">
        <v>564</v>
      </c>
      <c r="B15" s="957">
        <f ca="1">SUM(B4:B14)</f>
        <v>79603.135298688576</v>
      </c>
      <c r="C15" s="957">
        <f t="shared" ref="C15:Q15" ca="1" si="1">SUM(C4:C14)</f>
        <v>0</v>
      </c>
      <c r="D15" s="957">
        <f t="shared" ca="1" si="1"/>
        <v>159115.46466683113</v>
      </c>
      <c r="E15" s="957">
        <f t="shared" si="1"/>
        <v>18931.291540312872</v>
      </c>
      <c r="F15" s="957">
        <f t="shared" ca="1" si="1"/>
        <v>52052.185817266742</v>
      </c>
      <c r="G15" s="957">
        <f t="shared" si="1"/>
        <v>239955.15307249868</v>
      </c>
      <c r="H15" s="957">
        <f t="shared" si="1"/>
        <v>48081.173443690306</v>
      </c>
      <c r="I15" s="957">
        <f t="shared" si="1"/>
        <v>0</v>
      </c>
      <c r="J15" s="957">
        <f t="shared" si="1"/>
        <v>107.77599315862943</v>
      </c>
      <c r="K15" s="957">
        <f t="shared" si="1"/>
        <v>0</v>
      </c>
      <c r="L15" s="957">
        <f t="shared" ca="1" si="1"/>
        <v>0</v>
      </c>
      <c r="M15" s="957">
        <f t="shared" si="1"/>
        <v>15375.207619952089</v>
      </c>
      <c r="N15" s="957">
        <f t="shared" ca="1" si="1"/>
        <v>11968.265820366129</v>
      </c>
      <c r="O15" s="957">
        <f t="shared" si="1"/>
        <v>276.70999999999998</v>
      </c>
      <c r="P15" s="957">
        <f t="shared" si="1"/>
        <v>381.33333333333337</v>
      </c>
      <c r="Q15" s="957">
        <f t="shared" ca="1" si="1"/>
        <v>625847.69660609856</v>
      </c>
    </row>
    <row r="17" spans="1:17">
      <c r="A17" s="462" t="s">
        <v>565</v>
      </c>
      <c r="B17" s="761">
        <f ca="1">huishoudens!B10</f>
        <v>0.21237418864479302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9550.5193545388793</v>
      </c>
      <c r="C22" s="452">
        <f t="shared" ref="C22:C32" ca="1" si="3">C4*$C$17</f>
        <v>0</v>
      </c>
      <c r="D22" s="452">
        <f t="shared" ref="D22:D32" si="4">D4*$D$17</f>
        <v>23262.936927654249</v>
      </c>
      <c r="E22" s="452">
        <f t="shared" ref="E22:E32" si="5">E4*$E$17</f>
        <v>3934.7033562511378</v>
      </c>
      <c r="F22" s="452">
        <f t="shared" ref="F22:F32" si="6">F4*$F$17</f>
        <v>11794.281476858032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48542.441115302296</v>
      </c>
    </row>
    <row r="23" spans="1:17">
      <c r="A23" s="451" t="s">
        <v>155</v>
      </c>
      <c r="B23" s="452">
        <f t="shared" ca="1" si="2"/>
        <v>5701.3456065812461</v>
      </c>
      <c r="C23" s="452">
        <f t="shared" ca="1" si="3"/>
        <v>0</v>
      </c>
      <c r="D23" s="452">
        <f t="shared" ca="1" si="4"/>
        <v>6935.547787039859</v>
      </c>
      <c r="E23" s="452">
        <f t="shared" si="5"/>
        <v>63.841961920592688</v>
      </c>
      <c r="F23" s="452">
        <f t="shared" ca="1" si="6"/>
        <v>1126.4101869496958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13827.145542491393</v>
      </c>
    </row>
    <row r="24" spans="1:17">
      <c r="A24" s="451" t="s">
        <v>193</v>
      </c>
      <c r="B24" s="452">
        <f t="shared" ca="1" si="2"/>
        <v>428.90878764513752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428.90878764513752</v>
      </c>
    </row>
    <row r="25" spans="1:17">
      <c r="A25" s="451" t="s">
        <v>111</v>
      </c>
      <c r="B25" s="452">
        <f t="shared" ca="1" si="2"/>
        <v>130.77613679606944</v>
      </c>
      <c r="C25" s="452">
        <f t="shared" ca="1" si="3"/>
        <v>0</v>
      </c>
      <c r="D25" s="452">
        <f t="shared" si="4"/>
        <v>219.95666349661479</v>
      </c>
      <c r="E25" s="452">
        <f t="shared" si="5"/>
        <v>1.2947235391701379</v>
      </c>
      <c r="F25" s="452">
        <f t="shared" si="6"/>
        <v>417.14890617035724</v>
      </c>
      <c r="G25" s="452">
        <f t="shared" si="7"/>
        <v>0</v>
      </c>
      <c r="H25" s="452">
        <f t="shared" si="8"/>
        <v>0</v>
      </c>
      <c r="I25" s="452">
        <f t="shared" si="9"/>
        <v>0</v>
      </c>
      <c r="J25" s="452">
        <f t="shared" si="10"/>
        <v>33.419796648133953</v>
      </c>
      <c r="K25" s="452">
        <f t="shared" si="11"/>
        <v>0</v>
      </c>
      <c r="L25" s="452">
        <f t="shared" si="12"/>
        <v>0</v>
      </c>
      <c r="M25" s="452">
        <f t="shared" si="13"/>
        <v>0</v>
      </c>
      <c r="N25" s="452">
        <f t="shared" si="14"/>
        <v>0</v>
      </c>
      <c r="O25" s="452">
        <f t="shared" si="15"/>
        <v>0</v>
      </c>
      <c r="P25" s="453">
        <f t="shared" si="16"/>
        <v>0</v>
      </c>
      <c r="Q25" s="451">
        <f t="shared" ca="1" si="17"/>
        <v>802.59622665034556</v>
      </c>
    </row>
    <row r="26" spans="1:17">
      <c r="A26" s="451" t="s">
        <v>649</v>
      </c>
      <c r="B26" s="452">
        <f t="shared" ca="1" si="2"/>
        <v>747.49074948707528</v>
      </c>
      <c r="C26" s="452">
        <f t="shared" ca="1" si="3"/>
        <v>0</v>
      </c>
      <c r="D26" s="452">
        <f t="shared" si="4"/>
        <v>657.89691412112438</v>
      </c>
      <c r="E26" s="452">
        <f t="shared" si="5"/>
        <v>106.46602947458881</v>
      </c>
      <c r="F26" s="452">
        <f t="shared" si="6"/>
        <v>560.09304323213587</v>
      </c>
      <c r="G26" s="452">
        <f t="shared" si="7"/>
        <v>0</v>
      </c>
      <c r="H26" s="452">
        <f t="shared" si="8"/>
        <v>0</v>
      </c>
      <c r="I26" s="452">
        <f t="shared" si="9"/>
        <v>0</v>
      </c>
      <c r="J26" s="452">
        <f t="shared" si="10"/>
        <v>4.7329049300208581</v>
      </c>
      <c r="K26" s="452">
        <f t="shared" si="11"/>
        <v>0</v>
      </c>
      <c r="L26" s="452">
        <f t="shared" si="12"/>
        <v>0</v>
      </c>
      <c r="M26" s="452">
        <f t="shared" si="13"/>
        <v>0</v>
      </c>
      <c r="N26" s="452">
        <f t="shared" si="14"/>
        <v>0</v>
      </c>
      <c r="O26" s="452">
        <f t="shared" si="15"/>
        <v>0</v>
      </c>
      <c r="P26" s="453">
        <f t="shared" si="16"/>
        <v>0</v>
      </c>
      <c r="Q26" s="451">
        <f t="shared" ca="1" si="17"/>
        <v>2076.6796412449453</v>
      </c>
    </row>
    <row r="27" spans="1:17" s="457" customFormat="1">
      <c r="A27" s="455" t="s">
        <v>570</v>
      </c>
      <c r="B27" s="755">
        <f t="shared" ca="1" si="2"/>
        <v>8.4811968833412639</v>
      </c>
      <c r="C27" s="456">
        <f t="shared" ca="1" si="3"/>
        <v>0</v>
      </c>
      <c r="D27" s="456">
        <f t="shared" si="4"/>
        <v>15.570867731698455</v>
      </c>
      <c r="E27" s="456">
        <f t="shared" si="5"/>
        <v>191.09710846553165</v>
      </c>
      <c r="F27" s="456">
        <f t="shared" si="6"/>
        <v>0</v>
      </c>
      <c r="G27" s="456">
        <f t="shared" si="7"/>
        <v>62986.520187832553</v>
      </c>
      <c r="H27" s="456">
        <f t="shared" si="8"/>
        <v>11972.212187478886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75173.881548392004</v>
      </c>
    </row>
    <row r="28" spans="1:17">
      <c r="A28" s="451" t="s">
        <v>560</v>
      </c>
      <c r="B28" s="452">
        <f t="shared" ca="1" si="2"/>
        <v>0</v>
      </c>
      <c r="C28" s="452">
        <f t="shared" ca="1" si="3"/>
        <v>0</v>
      </c>
      <c r="D28" s="452">
        <f t="shared" si="4"/>
        <v>0</v>
      </c>
      <c r="E28" s="452">
        <f t="shared" si="5"/>
        <v>0</v>
      </c>
      <c r="F28" s="452">
        <f t="shared" si="6"/>
        <v>0</v>
      </c>
      <c r="G28" s="452">
        <f t="shared" si="7"/>
        <v>1081.5056825245931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1081.5056825245931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338.12944070892075</v>
      </c>
      <c r="C32" s="452">
        <f t="shared" ca="1" si="3"/>
        <v>0</v>
      </c>
      <c r="D32" s="452">
        <f t="shared" si="4"/>
        <v>1049.4147026563439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1387.5441433652647</v>
      </c>
    </row>
    <row r="33" spans="1:17" s="461" customFormat="1">
      <c r="A33" s="1017" t="s">
        <v>564</v>
      </c>
      <c r="B33" s="957">
        <f ca="1">SUM(B22:B32)</f>
        <v>16905.651272640669</v>
      </c>
      <c r="C33" s="957">
        <f t="shared" ref="C33:Q33" ca="1" si="18">SUM(C22:C32)</f>
        <v>0</v>
      </c>
      <c r="D33" s="957">
        <f t="shared" ca="1" si="18"/>
        <v>32141.32386269989</v>
      </c>
      <c r="E33" s="957">
        <f t="shared" si="18"/>
        <v>4297.4031796510217</v>
      </c>
      <c r="F33" s="957">
        <f t="shared" ca="1" si="18"/>
        <v>13897.933613210222</v>
      </c>
      <c r="G33" s="957">
        <f t="shared" si="18"/>
        <v>64068.025870357145</v>
      </c>
      <c r="H33" s="957">
        <f t="shared" si="18"/>
        <v>11972.212187478886</v>
      </c>
      <c r="I33" s="957">
        <f t="shared" si="18"/>
        <v>0</v>
      </c>
      <c r="J33" s="957">
        <f t="shared" si="18"/>
        <v>38.152701578154812</v>
      </c>
      <c r="K33" s="957">
        <f t="shared" si="18"/>
        <v>0</v>
      </c>
      <c r="L33" s="957">
        <f t="shared" ca="1" si="18"/>
        <v>0</v>
      </c>
      <c r="M33" s="957">
        <f t="shared" si="18"/>
        <v>0</v>
      </c>
      <c r="N33" s="957">
        <f t="shared" ca="1" si="18"/>
        <v>0</v>
      </c>
      <c r="O33" s="957">
        <f t="shared" si="18"/>
        <v>0</v>
      </c>
      <c r="P33" s="957">
        <f t="shared" si="18"/>
        <v>0</v>
      </c>
      <c r="Q33" s="957">
        <f t="shared" ca="1" si="18"/>
        <v>143320.70268761597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29.585650224215247</v>
      </c>
      <c r="C5" s="1034"/>
      <c r="D5" s="1034"/>
      <c r="E5" s="1034"/>
      <c r="F5" s="1034"/>
      <c r="G5" s="1034"/>
      <c r="H5" s="1034"/>
      <c r="I5" s="1034"/>
      <c r="J5" s="1034"/>
      <c r="K5" s="1034"/>
      <c r="L5" s="1034"/>
      <c r="M5" s="1034"/>
      <c r="N5" s="1034"/>
      <c r="O5" s="1034"/>
      <c r="P5" s="1035">
        <f>'SEAP template'!Q73</f>
        <v>0</v>
      </c>
    </row>
    <row r="6" spans="1:16">
      <c r="A6" s="1036" t="s">
        <v>250</v>
      </c>
      <c r="B6" s="1034">
        <f>'SEAP template'!B74</f>
        <v>3077.3900437554521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3106.9756939796675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0.21237418864479302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0.21237418864479302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0.21237418864479302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0.21237418864479302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9636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1571</v>
      </c>
      <c r="C14" s="330"/>
      <c r="D14" s="330"/>
      <c r="E14" s="330"/>
      <c r="F14" s="330"/>
    </row>
    <row r="15" spans="1:6">
      <c r="A15" s="1305" t="s">
        <v>183</v>
      </c>
      <c r="B15" s="1306">
        <v>2</v>
      </c>
      <c r="C15" s="330"/>
      <c r="D15" s="330"/>
      <c r="E15" s="330"/>
      <c r="F15" s="330"/>
    </row>
    <row r="16" spans="1:6">
      <c r="A16" s="1305" t="s">
        <v>6</v>
      </c>
      <c r="B16" s="1306">
        <v>133</v>
      </c>
      <c r="C16" s="330"/>
      <c r="D16" s="330"/>
      <c r="E16" s="330"/>
      <c r="F16" s="330"/>
    </row>
    <row r="17" spans="1:6">
      <c r="A17" s="1305" t="s">
        <v>7</v>
      </c>
      <c r="B17" s="1306">
        <v>62</v>
      </c>
      <c r="C17" s="330"/>
      <c r="D17" s="330"/>
      <c r="E17" s="330"/>
      <c r="F17" s="330"/>
    </row>
    <row r="18" spans="1:6">
      <c r="A18" s="1305" t="s">
        <v>8</v>
      </c>
      <c r="B18" s="1306">
        <v>121</v>
      </c>
      <c r="C18" s="330"/>
      <c r="D18" s="330"/>
      <c r="E18" s="330"/>
      <c r="F18" s="330"/>
    </row>
    <row r="19" spans="1:6">
      <c r="A19" s="1305" t="s">
        <v>9</v>
      </c>
      <c r="B19" s="1306">
        <v>176</v>
      </c>
      <c r="C19" s="330"/>
      <c r="D19" s="330"/>
      <c r="E19" s="330"/>
      <c r="F19" s="330"/>
    </row>
    <row r="20" spans="1:6">
      <c r="A20" s="1305" t="s">
        <v>10</v>
      </c>
      <c r="B20" s="1306">
        <v>81</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218</v>
      </c>
      <c r="C26" s="330"/>
      <c r="D26" s="330"/>
      <c r="E26" s="330"/>
      <c r="F26" s="330"/>
    </row>
    <row r="27" spans="1:6">
      <c r="A27" s="1305" t="s">
        <v>17</v>
      </c>
      <c r="B27" s="1306">
        <v>0</v>
      </c>
      <c r="C27" s="330"/>
      <c r="D27" s="330"/>
      <c r="E27" s="330"/>
      <c r="F27" s="330"/>
    </row>
    <row r="28" spans="1:6" s="43" customFormat="1">
      <c r="A28" s="1307" t="s">
        <v>18</v>
      </c>
      <c r="B28" s="1308">
        <v>51</v>
      </c>
      <c r="C28" s="336"/>
      <c r="D28" s="336"/>
      <c r="E28" s="336"/>
      <c r="F28" s="336"/>
    </row>
    <row r="29" spans="1:6">
      <c r="A29" s="1307" t="s">
        <v>909</v>
      </c>
      <c r="B29" s="1308">
        <v>132</v>
      </c>
      <c r="C29" s="336"/>
      <c r="D29" s="336"/>
      <c r="E29" s="336"/>
      <c r="F29" s="336"/>
    </row>
    <row r="30" spans="1:6">
      <c r="A30" s="1300" t="s">
        <v>910</v>
      </c>
      <c r="B30" s="1309">
        <v>36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9</v>
      </c>
      <c r="F36" s="1306">
        <v>31384.71</v>
      </c>
    </row>
    <row r="37" spans="1:6">
      <c r="A37" s="1305" t="s">
        <v>24</v>
      </c>
      <c r="B37" s="1305" t="s">
        <v>27</v>
      </c>
      <c r="C37" s="1306">
        <v>0</v>
      </c>
      <c r="D37" s="1306">
        <v>0</v>
      </c>
      <c r="E37" s="1306">
        <v>0</v>
      </c>
      <c r="F37" s="1306">
        <v>0</v>
      </c>
    </row>
    <row r="38" spans="1:6">
      <c r="A38" s="1305" t="s">
        <v>24</v>
      </c>
      <c r="B38" s="1305" t="s">
        <v>28</v>
      </c>
      <c r="C38" s="1306">
        <v>1</v>
      </c>
      <c r="D38" s="1306">
        <v>20881.172527072002</v>
      </c>
      <c r="E38" s="1306">
        <v>3</v>
      </c>
      <c r="F38" s="1306">
        <v>82888.009999999995</v>
      </c>
    </row>
    <row r="39" spans="1:6">
      <c r="A39" s="1305" t="s">
        <v>29</v>
      </c>
      <c r="B39" s="1305" t="s">
        <v>30</v>
      </c>
      <c r="C39" s="1306">
        <v>5896</v>
      </c>
      <c r="D39" s="1306">
        <v>127655394.228554</v>
      </c>
      <c r="E39" s="1306">
        <v>9454</v>
      </c>
      <c r="F39" s="1306">
        <v>42158139</v>
      </c>
    </row>
    <row r="40" spans="1:6">
      <c r="A40" s="1305" t="s">
        <v>29</v>
      </c>
      <c r="B40" s="1305" t="s">
        <v>28</v>
      </c>
      <c r="C40" s="1306">
        <v>1</v>
      </c>
      <c r="D40" s="1306">
        <v>19832.043395299999</v>
      </c>
      <c r="E40" s="1306">
        <v>1</v>
      </c>
      <c r="F40" s="1306">
        <v>7683.88</v>
      </c>
    </row>
    <row r="41" spans="1:6">
      <c r="A41" s="1305" t="s">
        <v>31</v>
      </c>
      <c r="B41" s="1305" t="s">
        <v>32</v>
      </c>
      <c r="C41" s="1306">
        <v>65</v>
      </c>
      <c r="D41" s="1306">
        <v>1414268.85684001</v>
      </c>
      <c r="E41" s="1306">
        <v>159</v>
      </c>
      <c r="F41" s="1306">
        <v>1449547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5</v>
      </c>
      <c r="F44" s="1306">
        <v>72537.27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4</v>
      </c>
      <c r="D47" s="1306">
        <v>159275.31576860501</v>
      </c>
      <c r="E47" s="1306">
        <v>11</v>
      </c>
      <c r="F47" s="1306">
        <v>395309.3</v>
      </c>
    </row>
    <row r="48" spans="1:6">
      <c r="A48" s="1305" t="s">
        <v>31</v>
      </c>
      <c r="B48" s="1305" t="s">
        <v>28</v>
      </c>
      <c r="C48" s="1306">
        <v>29</v>
      </c>
      <c r="D48" s="1306">
        <v>1740770.4782120599</v>
      </c>
      <c r="E48" s="1306">
        <v>33</v>
      </c>
      <c r="F48" s="1306">
        <v>1265499</v>
      </c>
    </row>
    <row r="49" spans="1:6">
      <c r="A49" s="1305" t="s">
        <v>31</v>
      </c>
      <c r="B49" s="1305" t="s">
        <v>39</v>
      </c>
      <c r="C49" s="1306">
        <v>0</v>
      </c>
      <c r="D49" s="1306">
        <v>0</v>
      </c>
      <c r="E49" s="1306">
        <v>0</v>
      </c>
      <c r="F49" s="1306">
        <v>0</v>
      </c>
    </row>
    <row r="50" spans="1:6">
      <c r="A50" s="1305" t="s">
        <v>31</v>
      </c>
      <c r="B50" s="1305" t="s">
        <v>40</v>
      </c>
      <c r="C50" s="1306">
        <v>3</v>
      </c>
      <c r="D50" s="1306">
        <v>296456.32084363699</v>
      </c>
      <c r="E50" s="1306">
        <v>10</v>
      </c>
      <c r="F50" s="1306">
        <v>336794.8</v>
      </c>
    </row>
    <row r="51" spans="1:6">
      <c r="A51" s="1305" t="s">
        <v>41</v>
      </c>
      <c r="B51" s="1305" t="s">
        <v>42</v>
      </c>
      <c r="C51" s="1306">
        <v>22</v>
      </c>
      <c r="D51" s="1306">
        <v>1069614.62466045</v>
      </c>
      <c r="E51" s="1306">
        <v>106</v>
      </c>
      <c r="F51" s="1306">
        <v>577485.69999999995</v>
      </c>
    </row>
    <row r="52" spans="1:6">
      <c r="A52" s="1305" t="s">
        <v>41</v>
      </c>
      <c r="B52" s="1305" t="s">
        <v>28</v>
      </c>
      <c r="C52" s="1306">
        <v>6</v>
      </c>
      <c r="D52" s="1306">
        <v>137585.346232696</v>
      </c>
      <c r="E52" s="1306">
        <v>7</v>
      </c>
      <c r="F52" s="1306">
        <v>38295.99</v>
      </c>
    </row>
    <row r="53" spans="1:6">
      <c r="A53" s="1305" t="s">
        <v>43</v>
      </c>
      <c r="B53" s="1305" t="s">
        <v>44</v>
      </c>
      <c r="C53" s="1306">
        <v>196</v>
      </c>
      <c r="D53" s="1306">
        <v>5195122.2903779401</v>
      </c>
      <c r="E53" s="1306">
        <v>349</v>
      </c>
      <c r="F53" s="1306">
        <v>1592140</v>
      </c>
    </row>
    <row r="54" spans="1:6">
      <c r="A54" s="1305" t="s">
        <v>45</v>
      </c>
      <c r="B54" s="1305" t="s">
        <v>46</v>
      </c>
      <c r="C54" s="1306">
        <v>0</v>
      </c>
      <c r="D54" s="1306">
        <v>0</v>
      </c>
      <c r="E54" s="1306">
        <v>1</v>
      </c>
      <c r="F54" s="1306">
        <v>2019590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79</v>
      </c>
      <c r="D57" s="1306">
        <v>8576947.2601906303</v>
      </c>
      <c r="E57" s="1306">
        <v>160</v>
      </c>
      <c r="F57" s="1306">
        <v>5172227</v>
      </c>
    </row>
    <row r="58" spans="1:6">
      <c r="A58" s="1305" t="s">
        <v>48</v>
      </c>
      <c r="B58" s="1305" t="s">
        <v>50</v>
      </c>
      <c r="C58" s="1306">
        <v>32</v>
      </c>
      <c r="D58" s="1306">
        <v>951538.15592624201</v>
      </c>
      <c r="E58" s="1306">
        <v>50</v>
      </c>
      <c r="F58" s="1306">
        <v>576201.4</v>
      </c>
    </row>
    <row r="59" spans="1:6">
      <c r="A59" s="1305" t="s">
        <v>48</v>
      </c>
      <c r="B59" s="1305" t="s">
        <v>51</v>
      </c>
      <c r="C59" s="1306">
        <v>137</v>
      </c>
      <c r="D59" s="1306">
        <v>5782550.3966820799</v>
      </c>
      <c r="E59" s="1306">
        <v>297</v>
      </c>
      <c r="F59" s="1306">
        <v>7934003</v>
      </c>
    </row>
    <row r="60" spans="1:6">
      <c r="A60" s="1305" t="s">
        <v>48</v>
      </c>
      <c r="B60" s="1305" t="s">
        <v>52</v>
      </c>
      <c r="C60" s="1306">
        <v>73</v>
      </c>
      <c r="D60" s="1306">
        <v>3428658.0216484899</v>
      </c>
      <c r="E60" s="1306">
        <v>90</v>
      </c>
      <c r="F60" s="1306">
        <v>2898401</v>
      </c>
    </row>
    <row r="61" spans="1:6">
      <c r="A61" s="1305" t="s">
        <v>48</v>
      </c>
      <c r="B61" s="1305" t="s">
        <v>53</v>
      </c>
      <c r="C61" s="1306">
        <v>255</v>
      </c>
      <c r="D61" s="1306">
        <v>10386465.3833062</v>
      </c>
      <c r="E61" s="1306">
        <v>518</v>
      </c>
      <c r="F61" s="1306">
        <v>5670907</v>
      </c>
    </row>
    <row r="62" spans="1:6">
      <c r="A62" s="1305" t="s">
        <v>48</v>
      </c>
      <c r="B62" s="1305" t="s">
        <v>54</v>
      </c>
      <c r="C62" s="1306">
        <v>10</v>
      </c>
      <c r="D62" s="1306">
        <v>459666.80386779999</v>
      </c>
      <c r="E62" s="1306">
        <v>13</v>
      </c>
      <c r="F62" s="1306">
        <v>214527.4</v>
      </c>
    </row>
    <row r="63" spans="1:6">
      <c r="A63" s="1305" t="s">
        <v>48</v>
      </c>
      <c r="B63" s="1305" t="s">
        <v>28</v>
      </c>
      <c r="C63" s="1306">
        <v>115</v>
      </c>
      <c r="D63" s="1306">
        <v>8478913.4299814701</v>
      </c>
      <c r="E63" s="1306">
        <v>111</v>
      </c>
      <c r="F63" s="1306">
        <v>4379489</v>
      </c>
    </row>
    <row r="64" spans="1:6">
      <c r="A64" s="1305" t="s">
        <v>55</v>
      </c>
      <c r="B64" s="1305" t="s">
        <v>56</v>
      </c>
      <c r="C64" s="1306">
        <v>0</v>
      </c>
      <c r="D64" s="1306">
        <v>0</v>
      </c>
      <c r="E64" s="1306">
        <v>0</v>
      </c>
      <c r="F64" s="1306">
        <v>0</v>
      </c>
    </row>
    <row r="65" spans="1:6">
      <c r="A65" s="1305" t="s">
        <v>55</v>
      </c>
      <c r="B65" s="1305" t="s">
        <v>28</v>
      </c>
      <c r="C65" s="1306">
        <v>4</v>
      </c>
      <c r="D65" s="1306">
        <v>374363.19058653602</v>
      </c>
      <c r="E65" s="1306">
        <v>5</v>
      </c>
      <c r="F65" s="1306">
        <v>156629.20000000001</v>
      </c>
    </row>
    <row r="66" spans="1:6">
      <c r="A66" s="1305" t="s">
        <v>55</v>
      </c>
      <c r="B66" s="1305" t="s">
        <v>57</v>
      </c>
      <c r="C66" s="1306">
        <v>0</v>
      </c>
      <c r="D66" s="1306">
        <v>0</v>
      </c>
      <c r="E66" s="1306">
        <v>24</v>
      </c>
      <c r="F66" s="1306">
        <v>530127</v>
      </c>
    </row>
    <row r="67" spans="1:6">
      <c r="A67" s="1307" t="s">
        <v>55</v>
      </c>
      <c r="B67" s="1307" t="s">
        <v>58</v>
      </c>
      <c r="C67" s="1306">
        <v>0</v>
      </c>
      <c r="D67" s="1306">
        <v>0</v>
      </c>
      <c r="E67" s="1306">
        <v>0</v>
      </c>
      <c r="F67" s="1306">
        <v>0</v>
      </c>
    </row>
    <row r="68" spans="1:6">
      <c r="A68" s="1300" t="s">
        <v>55</v>
      </c>
      <c r="B68" s="1300" t="s">
        <v>59</v>
      </c>
      <c r="C68" s="1309">
        <v>5</v>
      </c>
      <c r="D68" s="1309">
        <v>238470.22127610899</v>
      </c>
      <c r="E68" s="1309">
        <v>16</v>
      </c>
      <c r="F68" s="1309">
        <v>93235.18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87137289</v>
      </c>
      <c r="E73" s="450"/>
      <c r="F73" s="330"/>
    </row>
    <row r="74" spans="1:6">
      <c r="A74" s="1305" t="s">
        <v>63</v>
      </c>
      <c r="B74" s="1305" t="s">
        <v>710</v>
      </c>
      <c r="C74" s="1319" t="s">
        <v>712</v>
      </c>
      <c r="D74" s="1320">
        <v>3076099.2113472763</v>
      </c>
      <c r="E74" s="450"/>
      <c r="F74" s="330"/>
    </row>
    <row r="75" spans="1:6">
      <c r="A75" s="1305" t="s">
        <v>64</v>
      </c>
      <c r="B75" s="1305" t="s">
        <v>709</v>
      </c>
      <c r="C75" s="1319" t="s">
        <v>713</v>
      </c>
      <c r="D75" s="1320">
        <v>48771938</v>
      </c>
      <c r="E75" s="450"/>
      <c r="F75" s="330"/>
    </row>
    <row r="76" spans="1:6">
      <c r="A76" s="1305" t="s">
        <v>64</v>
      </c>
      <c r="B76" s="1305" t="s">
        <v>710</v>
      </c>
      <c r="C76" s="1319" t="s">
        <v>714</v>
      </c>
      <c r="D76" s="1320">
        <v>950656.21134727634</v>
      </c>
      <c r="E76" s="450"/>
      <c r="F76" s="330"/>
    </row>
    <row r="77" spans="1:6">
      <c r="A77" s="1305" t="s">
        <v>65</v>
      </c>
      <c r="B77" s="1305" t="s">
        <v>709</v>
      </c>
      <c r="C77" s="1319" t="s">
        <v>715</v>
      </c>
      <c r="D77" s="1320">
        <v>217056183</v>
      </c>
      <c r="E77" s="450"/>
      <c r="F77" s="330"/>
    </row>
    <row r="78" spans="1:6">
      <c r="A78" s="1300" t="s">
        <v>65</v>
      </c>
      <c r="B78" s="1300" t="s">
        <v>710</v>
      </c>
      <c r="C78" s="1300" t="s">
        <v>716</v>
      </c>
      <c r="D78" s="1321">
        <v>16702289</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1149745.5773054473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29.585650224215247</v>
      </c>
      <c r="C89" s="330"/>
      <c r="D89" s="330"/>
      <c r="E89" s="330"/>
      <c r="F89" s="330"/>
    </row>
    <row r="90" spans="1:6">
      <c r="A90" s="1305" t="s">
        <v>558</v>
      </c>
      <c r="B90" s="1306">
        <v>0</v>
      </c>
      <c r="C90" s="330"/>
      <c r="D90" s="330"/>
      <c r="E90" s="330"/>
      <c r="F90" s="330"/>
    </row>
    <row r="91" spans="1:6">
      <c r="A91" s="1305" t="s">
        <v>67</v>
      </c>
      <c r="B91" s="1306">
        <v>2804.422400195635</v>
      </c>
      <c r="C91" s="330"/>
      <c r="D91" s="330"/>
      <c r="E91" s="330"/>
      <c r="F91" s="330"/>
    </row>
    <row r="92" spans="1:6">
      <c r="A92" s="1300" t="s">
        <v>68</v>
      </c>
      <c r="B92" s="1301">
        <v>272.96764355981696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3706</v>
      </c>
      <c r="C97" s="330"/>
      <c r="D97" s="330"/>
      <c r="E97" s="330"/>
      <c r="F97" s="330"/>
    </row>
    <row r="98" spans="1:6">
      <c r="A98" s="1305" t="s">
        <v>71</v>
      </c>
      <c r="B98" s="1306">
        <v>4</v>
      </c>
      <c r="C98" s="330"/>
      <c r="D98" s="330"/>
      <c r="E98" s="330"/>
      <c r="F98" s="330"/>
    </row>
    <row r="99" spans="1:6">
      <c r="A99" s="1305" t="s">
        <v>72</v>
      </c>
      <c r="B99" s="1306">
        <v>74</v>
      </c>
      <c r="C99" s="330"/>
      <c r="D99" s="330"/>
      <c r="E99" s="330"/>
      <c r="F99" s="330"/>
    </row>
    <row r="100" spans="1:6">
      <c r="A100" s="1305" t="s">
        <v>73</v>
      </c>
      <c r="B100" s="1306">
        <v>477</v>
      </c>
      <c r="C100" s="330"/>
      <c r="D100" s="330"/>
      <c r="E100" s="330"/>
      <c r="F100" s="330"/>
    </row>
    <row r="101" spans="1:6">
      <c r="A101" s="1305" t="s">
        <v>74</v>
      </c>
      <c r="B101" s="1306">
        <v>44</v>
      </c>
      <c r="C101" s="330"/>
      <c r="D101" s="330"/>
      <c r="E101" s="330"/>
      <c r="F101" s="330"/>
    </row>
    <row r="102" spans="1:6">
      <c r="A102" s="1305" t="s">
        <v>75</v>
      </c>
      <c r="B102" s="1306">
        <v>114</v>
      </c>
      <c r="C102" s="330"/>
      <c r="D102" s="330"/>
      <c r="E102" s="330"/>
      <c r="F102" s="330"/>
    </row>
    <row r="103" spans="1:6">
      <c r="A103" s="1305" t="s">
        <v>76</v>
      </c>
      <c r="B103" s="1306">
        <v>138</v>
      </c>
      <c r="C103" s="330"/>
      <c r="D103" s="330"/>
      <c r="E103" s="330"/>
      <c r="F103" s="330"/>
    </row>
    <row r="104" spans="1:6">
      <c r="A104" s="1305" t="s">
        <v>77</v>
      </c>
      <c r="B104" s="1306">
        <v>3945</v>
      </c>
      <c r="C104" s="330"/>
      <c r="D104" s="330"/>
      <c r="E104" s="330"/>
      <c r="F104" s="330"/>
    </row>
    <row r="105" spans="1:6">
      <c r="A105" s="1300" t="s">
        <v>78</v>
      </c>
      <c r="B105" s="1309">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v>
      </c>
      <c r="C123" s="1306">
        <v>20</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157</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79603.13529868859</v>
      </c>
      <c r="C3" s="43" t="s">
        <v>169</v>
      </c>
      <c r="D3" s="43"/>
      <c r="E3" s="154"/>
      <c r="F3" s="43"/>
      <c r="G3" s="43"/>
      <c r="H3" s="43"/>
      <c r="I3" s="43"/>
      <c r="J3" s="43"/>
      <c r="K3" s="96"/>
    </row>
    <row r="4" spans="1:11">
      <c r="A4" s="359" t="s">
        <v>170</v>
      </c>
      <c r="B4" s="49">
        <f>IF(ISERROR('SEAP template'!B78+'SEAP template'!C78),0,'SEAP template'!B78+'SEAP template'!C78)</f>
        <v>3106.9756939796675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0.21237418864479302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2019.59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2019.59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0.21237418864479302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428.90878764513752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42165.82288</v>
      </c>
      <c r="C5" s="17">
        <f>IF(ISERROR('Eigen informatie GS &amp; warmtenet'!B57),0,'Eigen informatie GS &amp; warmtenet'!B57)</f>
        <v>0</v>
      </c>
      <c r="D5" s="30">
        <f>(SUM(HH_hh_gas_kWh,HH_rest_gas_kWh)/1000)*0.902</f>
        <v>115163.05409729826</v>
      </c>
      <c r="E5" s="17">
        <f>B46*B57</f>
        <v>17333.494961458757</v>
      </c>
      <c r="F5" s="17">
        <f>B51*B62</f>
        <v>44173.338864636818</v>
      </c>
      <c r="G5" s="18"/>
      <c r="H5" s="17"/>
      <c r="I5" s="17"/>
      <c r="J5" s="17">
        <f>B50*B61+C50*C61</f>
        <v>0</v>
      </c>
      <c r="K5" s="17"/>
      <c r="L5" s="17"/>
      <c r="M5" s="17"/>
      <c r="N5" s="17">
        <f>B48*B59+C48*C59</f>
        <v>7432.1858515683234</v>
      </c>
      <c r="O5" s="17">
        <f>B69*B70*B71</f>
        <v>276.70999999999998</v>
      </c>
      <c r="P5" s="17">
        <f>B77*B78*B79/1000-B77*B78*B79/1000/B80</f>
        <v>381.33333333333337</v>
      </c>
    </row>
    <row r="6" spans="1:16">
      <c r="A6" s="16" t="s">
        <v>630</v>
      </c>
      <c r="B6" s="763">
        <f>kWh_PV_kleiner_dan_10kW</f>
        <v>2804.422400195635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44970.245280195631</v>
      </c>
      <c r="C8" s="21">
        <f>C5</f>
        <v>0</v>
      </c>
      <c r="D8" s="21">
        <f>D5</f>
        <v>115163.05409729826</v>
      </c>
      <c r="E8" s="21">
        <f>E5</f>
        <v>17333.494961458757</v>
      </c>
      <c r="F8" s="21">
        <f>F5</f>
        <v>44173.338864636818</v>
      </c>
      <c r="G8" s="21"/>
      <c r="H8" s="21"/>
      <c r="I8" s="21"/>
      <c r="J8" s="21">
        <f>J5</f>
        <v>0</v>
      </c>
      <c r="K8" s="21"/>
      <c r="L8" s="21">
        <f>L5</f>
        <v>0</v>
      </c>
      <c r="M8" s="21">
        <f>M5</f>
        <v>0</v>
      </c>
      <c r="N8" s="21">
        <f>N5</f>
        <v>7432.1858515683234</v>
      </c>
      <c r="O8" s="21">
        <f>O5</f>
        <v>276.70999999999998</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0.21237418864479302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9550.5193545388793</v>
      </c>
      <c r="C12" s="23">
        <f ca="1">C10*C8</f>
        <v>0</v>
      </c>
      <c r="D12" s="23">
        <f>D8*D10</f>
        <v>23262.936927654249</v>
      </c>
      <c r="E12" s="23">
        <f>E10*E8</f>
        <v>3934.7033562511378</v>
      </c>
      <c r="F12" s="23">
        <f>F10*F8</f>
        <v>11794.281476858032</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3706</v>
      </c>
      <c r="C18" s="166" t="s">
        <v>110</v>
      </c>
      <c r="D18" s="228"/>
      <c r="E18" s="15"/>
    </row>
    <row r="19" spans="1:7">
      <c r="A19" s="171" t="s">
        <v>71</v>
      </c>
      <c r="B19" s="37">
        <f>aantalw2001_ander</f>
        <v>4</v>
      </c>
      <c r="C19" s="166" t="s">
        <v>110</v>
      </c>
      <c r="D19" s="229"/>
      <c r="E19" s="15"/>
    </row>
    <row r="20" spans="1:7">
      <c r="A20" s="171" t="s">
        <v>72</v>
      </c>
      <c r="B20" s="37">
        <f>aantalw2001_propaan</f>
        <v>74</v>
      </c>
      <c r="C20" s="167">
        <f>IF(ISERROR(B20/SUM($B$20,$B$21,$B$22)*100),0,B20/SUM($B$20,$B$21,$B$22)*100)</f>
        <v>12.436974789915967</v>
      </c>
      <c r="D20" s="229"/>
      <c r="E20" s="15"/>
    </row>
    <row r="21" spans="1:7">
      <c r="A21" s="171" t="s">
        <v>73</v>
      </c>
      <c r="B21" s="37">
        <f>aantalw2001_elektriciteit</f>
        <v>477</v>
      </c>
      <c r="C21" s="167">
        <f>IF(ISERROR(B21/SUM($B$20,$B$21,$B$22)*100),0,B21/SUM($B$20,$B$21,$B$22)*100)</f>
        <v>80.168067226890756</v>
      </c>
      <c r="D21" s="229"/>
      <c r="E21" s="15"/>
    </row>
    <row r="22" spans="1:7">
      <c r="A22" s="171" t="s">
        <v>74</v>
      </c>
      <c r="B22" s="37">
        <f>aantalw2001_hout</f>
        <v>44</v>
      </c>
      <c r="C22" s="167">
        <f>IF(ISERROR(B22/SUM($B$20,$B$21,$B$22)*100),0,B22/SUM($B$20,$B$21,$B$22)*100)</f>
        <v>7.3949579831932777</v>
      </c>
      <c r="D22" s="229"/>
      <c r="E22" s="15"/>
    </row>
    <row r="23" spans="1:7">
      <c r="A23" s="171" t="s">
        <v>75</v>
      </c>
      <c r="B23" s="37">
        <f>aantalw2001_niet_gespec</f>
        <v>114</v>
      </c>
      <c r="C23" s="166" t="s">
        <v>110</v>
      </c>
      <c r="D23" s="228"/>
      <c r="E23" s="15"/>
    </row>
    <row r="24" spans="1:7">
      <c r="A24" s="171" t="s">
        <v>76</v>
      </c>
      <c r="B24" s="37">
        <f>aantalw2001_steenkool</f>
        <v>138</v>
      </c>
      <c r="C24" s="166" t="s">
        <v>110</v>
      </c>
      <c r="D24" s="229"/>
      <c r="E24" s="15"/>
    </row>
    <row r="25" spans="1:7">
      <c r="A25" s="171" t="s">
        <v>77</v>
      </c>
      <c r="B25" s="37">
        <f>aantalw2001_stookolie</f>
        <v>3945</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736</v>
      </c>
      <c r="B28" s="37">
        <f>aantalHuishoudens</f>
        <v>9636</v>
      </c>
      <c r="C28" s="36"/>
      <c r="D28" s="228"/>
    </row>
    <row r="29" spans="1:7" s="15" customFormat="1">
      <c r="A29" s="230" t="s">
        <v>737</v>
      </c>
      <c r="B29" s="37">
        <f>SUM(HH_hh_gas_aantal,HH_rest_gas_aantal)</f>
        <v>5897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5897</v>
      </c>
      <c r="C32" s="167">
        <f>IF(ISERROR(B32/SUM($B$32,$B$34,$B$35,$B$36,$B$38,$B$39)*100),0,B32/SUM($B$32,$B$34,$B$35,$B$36,$B$38,$B$39)*100)</f>
        <v>61.324875207986686</v>
      </c>
      <c r="D32" s="233"/>
      <c r="G32" s="15"/>
    </row>
    <row r="33" spans="1:7">
      <c r="A33" s="171" t="s">
        <v>71</v>
      </c>
      <c r="B33" s="34" t="s">
        <v>110</v>
      </c>
      <c r="C33" s="167"/>
      <c r="D33" s="233"/>
      <c r="G33" s="15"/>
    </row>
    <row r="34" spans="1:7">
      <c r="A34" s="171" t="s">
        <v>72</v>
      </c>
      <c r="B34" s="33">
        <f>IF((($B$28-$B$32-$B$39-$B$77-$B$38)*C20/100)&lt;0,0,($B$28-$B$32-$B$39-$B$77-$B$38)*C20/100)</f>
        <v>217.13714285714286</v>
      </c>
      <c r="C34" s="167">
        <f>IF(ISERROR(B34/SUM($B$32,$B$34,$B$35,$B$36,$B$38,$B$39)*100),0,B34/SUM($B$32,$B$34,$B$35,$B$36,$B$38,$B$39)*100)</f>
        <v>2.258081768481103</v>
      </c>
      <c r="D34" s="233"/>
      <c r="G34" s="15"/>
    </row>
    <row r="35" spans="1:7">
      <c r="A35" s="171" t="s">
        <v>73</v>
      </c>
      <c r="B35" s="33">
        <f>IF((($B$28-$B$32-$B$39-$B$77-$B$38)*C21/100)&lt;0,0,($B$28-$B$32-$B$39-$B$77-$B$38)*C21/100)</f>
        <v>1399.6542857142858</v>
      </c>
      <c r="C35" s="167">
        <f>IF(ISERROR(B35/SUM($B$32,$B$34,$B$35,$B$36,$B$38,$B$39)*100),0,B35/SUM($B$32,$B$34,$B$35,$B$36,$B$38,$B$39)*100)</f>
        <v>14.555473021155219</v>
      </c>
      <c r="D35" s="233"/>
      <c r="G35" s="15"/>
    </row>
    <row r="36" spans="1:7">
      <c r="A36" s="171" t="s">
        <v>74</v>
      </c>
      <c r="B36" s="33">
        <f>IF((($B$28-$B$32-$B$39-$B$77-$B$38)*C22/100)&lt;0,0,($B$28-$B$32-$B$39-$B$77-$B$38)*C22/100)</f>
        <v>129.10857142857145</v>
      </c>
      <c r="C36" s="167">
        <f>IF(ISERROR(B36/SUM($B$32,$B$34,$B$35,$B$36,$B$38,$B$39)*100),0,B36/SUM($B$32,$B$34,$B$35,$B$36,$B$38,$B$39)*100)</f>
        <v>1.342643213691467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1973.1</v>
      </c>
      <c r="C39" s="167">
        <f>IF(ISERROR(B39/SUM($B$32,$B$34,$B$35,$B$36,$B$38,$B$39)*100),0,B39/SUM($B$32,$B$34,$B$35,$B$36,$B$38,$B$39)*100)</f>
        <v>20.518926788685523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5897</v>
      </c>
      <c r="C44" s="34" t="s">
        <v>110</v>
      </c>
      <c r="D44" s="174"/>
    </row>
    <row r="45" spans="1:7">
      <c r="A45" s="171" t="s">
        <v>71</v>
      </c>
      <c r="B45" s="33" t="str">
        <f t="shared" si="0"/>
        <v>-</v>
      </c>
      <c r="C45" s="34" t="s">
        <v>110</v>
      </c>
      <c r="D45" s="174"/>
    </row>
    <row r="46" spans="1:7">
      <c r="A46" s="171" t="s">
        <v>72</v>
      </c>
      <c r="B46" s="33">
        <f t="shared" si="0"/>
        <v>217.13714285714286</v>
      </c>
      <c r="C46" s="34" t="s">
        <v>110</v>
      </c>
      <c r="D46" s="174"/>
    </row>
    <row r="47" spans="1:7">
      <c r="A47" s="171" t="s">
        <v>73</v>
      </c>
      <c r="B47" s="33">
        <f t="shared" si="0"/>
        <v>1399.6542857142858</v>
      </c>
      <c r="C47" s="34" t="s">
        <v>110</v>
      </c>
      <c r="D47" s="174"/>
    </row>
    <row r="48" spans="1:7">
      <c r="A48" s="171" t="s">
        <v>74</v>
      </c>
      <c r="B48" s="33">
        <f t="shared" si="0"/>
        <v>129.10857142857145</v>
      </c>
      <c r="C48" s="33">
        <f>B48*10</f>
        <v>1291.0857142857144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1973.1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26845.755799999999</v>
      </c>
      <c r="C5" s="17">
        <f>IF(ISERROR('Eigen informatie GS &amp; warmtenet'!B58),0,'Eigen informatie GS &amp; warmtenet'!B58)</f>
        <v>0</v>
      </c>
      <c r="D5" s="30">
        <f>SUM(D6:D12)</f>
        <v>34334.394985345833</v>
      </c>
      <c r="E5" s="17">
        <f>SUM(E6:E12)</f>
        <v>281.24212299820567</v>
      </c>
      <c r="F5" s="17">
        <f>SUM(F6:F12)</f>
        <v>4218.7647451299463</v>
      </c>
      <c r="G5" s="18"/>
      <c r="H5" s="17"/>
      <c r="I5" s="17"/>
      <c r="J5" s="17">
        <f>SUM(J6:J12)</f>
        <v>0</v>
      </c>
      <c r="K5" s="17"/>
      <c r="L5" s="17"/>
      <c r="M5" s="17"/>
      <c r="N5" s="17">
        <f>SUM(N6:N12)</f>
        <v>4143.594287830585</v>
      </c>
      <c r="O5" s="17">
        <f>B38*B39*B40</f>
        <v>0</v>
      </c>
      <c r="P5" s="17">
        <f>B46*B47*B48/1000-B46*B47*B48/1000/B49</f>
        <v>0</v>
      </c>
      <c r="R5" s="32"/>
    </row>
    <row r="6" spans="1:18">
      <c r="A6" s="32" t="s">
        <v>53</v>
      </c>
      <c r="B6" s="37">
        <f>B26</f>
        <v>5670.9070000000002</v>
      </c>
      <c r="C6" s="33"/>
      <c r="D6" s="37">
        <f>IF(ISERROR(TER_kantoor_gas_kWh/1000),0,TER_kantoor_gas_kWh/1000)*0.902</f>
        <v>9368.5917757421921</v>
      </c>
      <c r="E6" s="33">
        <f>$C$26*'E Balans VL '!I12/100/3.6*1000000</f>
        <v>16.42944961903402</v>
      </c>
      <c r="F6" s="33">
        <f>$C$26*('E Balans VL '!L12+'E Balans VL '!N12)/100/3.6*1000000</f>
        <v>641.8217326319168</v>
      </c>
      <c r="G6" s="34"/>
      <c r="H6" s="33"/>
      <c r="I6" s="33"/>
      <c r="J6" s="33">
        <f>$C$26*('E Balans VL '!D12+'E Balans VL '!E12)/100/3.6*1000000</f>
        <v>0</v>
      </c>
      <c r="K6" s="33"/>
      <c r="L6" s="33"/>
      <c r="M6" s="33"/>
      <c r="N6" s="33">
        <f>$C$26*'E Balans VL '!Y12/100/3.6*1000000</f>
        <v>56.761600559157039</v>
      </c>
      <c r="O6" s="33"/>
      <c r="P6" s="33"/>
      <c r="R6" s="32"/>
    </row>
    <row r="7" spans="1:18">
      <c r="A7" s="32" t="s">
        <v>52</v>
      </c>
      <c r="B7" s="37">
        <f t="shared" ref="B7:B12" si="0">B27</f>
        <v>2898.4009999999998</v>
      </c>
      <c r="C7" s="33"/>
      <c r="D7" s="37">
        <f>IF(ISERROR(TER_horeca_gas_kWh/1000),0,TER_horeca_gas_kWh/1000)*0.902</f>
        <v>3092.6495355269381</v>
      </c>
      <c r="E7" s="33">
        <f>$C$27*'E Balans VL '!I9/100/3.6*1000000</f>
        <v>121.66677600765298</v>
      </c>
      <c r="F7" s="33">
        <f>$C$27*('E Balans VL '!L9+'E Balans VL '!N9)/100/3.6*1000000</f>
        <v>622.78089216048625</v>
      </c>
      <c r="G7" s="34"/>
      <c r="H7" s="33"/>
      <c r="I7" s="33"/>
      <c r="J7" s="33">
        <f>$C$27*('E Balans VL '!D9+'E Balans VL '!E9)/100/3.6*1000000</f>
        <v>0</v>
      </c>
      <c r="K7" s="33"/>
      <c r="L7" s="33"/>
      <c r="M7" s="33"/>
      <c r="N7" s="33">
        <f>$C$27*'E Balans VL '!Y9/100/3.6*1000000</f>
        <v>0.74689259026371824</v>
      </c>
      <c r="O7" s="33"/>
      <c r="P7" s="33"/>
      <c r="R7" s="32"/>
    </row>
    <row r="8" spans="1:18">
      <c r="A8" s="6" t="s">
        <v>51</v>
      </c>
      <c r="B8" s="37">
        <f t="shared" si="0"/>
        <v>7934.0029999999997</v>
      </c>
      <c r="C8" s="33"/>
      <c r="D8" s="37">
        <f>IF(ISERROR(TER_handel_gas_kWh/1000),0,TER_handel_gas_kWh/1000)*0.902</f>
        <v>5215.8604578072363</v>
      </c>
      <c r="E8" s="33">
        <f>$C$28*'E Balans VL '!I13/100/3.6*1000000</f>
        <v>85.217795502988082</v>
      </c>
      <c r="F8" s="33">
        <f>$C$28*('E Balans VL '!L13+'E Balans VL '!N13)/100/3.6*1000000</f>
        <v>1027.1222059961412</v>
      </c>
      <c r="G8" s="34"/>
      <c r="H8" s="33"/>
      <c r="I8" s="33"/>
      <c r="J8" s="33">
        <f>$C$28*('E Balans VL '!D13+'E Balans VL '!E13)/100/3.6*1000000</f>
        <v>0</v>
      </c>
      <c r="K8" s="33"/>
      <c r="L8" s="33"/>
      <c r="M8" s="33"/>
      <c r="N8" s="33">
        <f>$C$28*'E Balans VL '!Y13/100/3.6*1000000</f>
        <v>64.361065551399804</v>
      </c>
      <c r="O8" s="33"/>
      <c r="P8" s="33"/>
      <c r="R8" s="32"/>
    </row>
    <row r="9" spans="1:18">
      <c r="A9" s="32" t="s">
        <v>50</v>
      </c>
      <c r="B9" s="37">
        <f t="shared" si="0"/>
        <v>576.20140000000004</v>
      </c>
      <c r="C9" s="33"/>
      <c r="D9" s="37">
        <f>IF(ISERROR(TER_gezond_gas_kWh/1000),0,TER_gezond_gas_kWh/1000)*0.902</f>
        <v>858.28741664547033</v>
      </c>
      <c r="E9" s="33">
        <f>$C$29*'E Balans VL '!I10/100/3.6*1000000</f>
        <v>0.45869358210812056</v>
      </c>
      <c r="F9" s="33">
        <f>$C$29*('E Balans VL '!L10+'E Balans VL '!N10)/100/3.6*1000000</f>
        <v>70.045607030233668</v>
      </c>
      <c r="G9" s="34"/>
      <c r="H9" s="33"/>
      <c r="I9" s="33"/>
      <c r="J9" s="33">
        <f>$C$29*('E Balans VL '!D10+'E Balans VL '!E10)/100/3.6*1000000</f>
        <v>0</v>
      </c>
      <c r="K9" s="33"/>
      <c r="L9" s="33"/>
      <c r="M9" s="33"/>
      <c r="N9" s="33">
        <f>$C$29*'E Balans VL '!Y10/100/3.6*1000000</f>
        <v>4.654402254669038</v>
      </c>
      <c r="O9" s="33"/>
      <c r="P9" s="33"/>
      <c r="R9" s="32"/>
    </row>
    <row r="10" spans="1:18">
      <c r="A10" s="32" t="s">
        <v>49</v>
      </c>
      <c r="B10" s="37">
        <f t="shared" si="0"/>
        <v>5172.2269999999999</v>
      </c>
      <c r="C10" s="33"/>
      <c r="D10" s="37">
        <f>IF(ISERROR(TER_ander_gas_kWh/1000),0,TER_ander_gas_kWh/1000)*0.902</f>
        <v>7736.4064286919493</v>
      </c>
      <c r="E10" s="33">
        <f>$C$30*'E Balans VL '!I14/100/3.6*1000000</f>
        <v>17.725493642976666</v>
      </c>
      <c r="F10" s="33">
        <f>$C$30*('E Balans VL '!L14+'E Balans VL '!N14)/100/3.6*1000000</f>
        <v>1155.2653372525465</v>
      </c>
      <c r="G10" s="34"/>
      <c r="H10" s="33"/>
      <c r="I10" s="33"/>
      <c r="J10" s="33">
        <f>$C$30*('E Balans VL '!D14+'E Balans VL '!E14)/100/3.6*1000000</f>
        <v>0</v>
      </c>
      <c r="K10" s="33"/>
      <c r="L10" s="33"/>
      <c r="M10" s="33"/>
      <c r="N10" s="33">
        <f>$C$30*'E Balans VL '!Y14/100/3.6*1000000</f>
        <v>3643.344954123786</v>
      </c>
      <c r="O10" s="33"/>
      <c r="P10" s="33"/>
      <c r="R10" s="32"/>
    </row>
    <row r="11" spans="1:18">
      <c r="A11" s="32" t="s">
        <v>54</v>
      </c>
      <c r="B11" s="37">
        <f t="shared" si="0"/>
        <v>214.5274</v>
      </c>
      <c r="C11" s="33"/>
      <c r="D11" s="37">
        <f>IF(ISERROR(TER_onderwijs_gas_kWh/1000),0,TER_onderwijs_gas_kWh/1000)*0.902</f>
        <v>414.61945708875561</v>
      </c>
      <c r="E11" s="33">
        <f>$C$31*'E Balans VL '!I11/100/3.6*1000000</f>
        <v>0.14829618469605313</v>
      </c>
      <c r="F11" s="33">
        <f>$C$31*('E Balans VL '!L11+'E Balans VL '!N11)/100/3.6*1000000</f>
        <v>56.157041721854085</v>
      </c>
      <c r="G11" s="34"/>
      <c r="H11" s="33"/>
      <c r="I11" s="33"/>
      <c r="J11" s="33">
        <f>$C$31*('E Balans VL '!D11+'E Balans VL '!E11)/100/3.6*1000000</f>
        <v>0</v>
      </c>
      <c r="K11" s="33"/>
      <c r="L11" s="33"/>
      <c r="M11" s="33"/>
      <c r="N11" s="33">
        <f>$C$31*'E Balans VL '!Y11/100/3.6*1000000</f>
        <v>0.21354375468143638</v>
      </c>
      <c r="O11" s="33"/>
      <c r="P11" s="33"/>
      <c r="R11" s="32"/>
    </row>
    <row r="12" spans="1:18">
      <c r="A12" s="32" t="s">
        <v>259</v>
      </c>
      <c r="B12" s="37">
        <f t="shared" si="0"/>
        <v>4379.4889999999996</v>
      </c>
      <c r="C12" s="33"/>
      <c r="D12" s="37">
        <f>IF(ISERROR(TER_rest_gas_kWh/1000),0,TER_rest_gas_kWh/1000)*0.902</f>
        <v>7647.9799138432863</v>
      </c>
      <c r="E12" s="33">
        <f>$C$32*'E Balans VL '!I8/100/3.6*1000000</f>
        <v>39.595618458749748</v>
      </c>
      <c r="F12" s="33">
        <f>$C$32*('E Balans VL '!L8+'E Balans VL '!N8)/100/3.6*1000000</f>
        <v>645.57192833676777</v>
      </c>
      <c r="G12" s="34"/>
      <c r="H12" s="33"/>
      <c r="I12" s="33"/>
      <c r="J12" s="33">
        <f>$C$32*('E Balans VL '!D8+'E Balans VL '!E8)/100/3.6*1000000</f>
        <v>0</v>
      </c>
      <c r="K12" s="33"/>
      <c r="L12" s="33"/>
      <c r="M12" s="33"/>
      <c r="N12" s="33">
        <f>$C$32*'E Balans VL '!Y8/100/3.6*1000000</f>
        <v>373.51182899662808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26845.755799999999</v>
      </c>
      <c r="C16" s="21">
        <f t="shared" ca="1" si="1"/>
        <v>0</v>
      </c>
      <c r="D16" s="21">
        <f t="shared" ca="1" si="1"/>
        <v>34334.394985345833</v>
      </c>
      <c r="E16" s="21">
        <f t="shared" si="1"/>
        <v>281.24212299820567</v>
      </c>
      <c r="F16" s="21">
        <f t="shared" ca="1" si="1"/>
        <v>4218.7647451299463</v>
      </c>
      <c r="G16" s="21">
        <f t="shared" si="1"/>
        <v>0</v>
      </c>
      <c r="H16" s="21">
        <f t="shared" si="1"/>
        <v>0</v>
      </c>
      <c r="I16" s="21">
        <f t="shared" si="1"/>
        <v>0</v>
      </c>
      <c r="J16" s="21">
        <f t="shared" si="1"/>
        <v>0</v>
      </c>
      <c r="K16" s="21">
        <f t="shared" si="1"/>
        <v>0</v>
      </c>
      <c r="L16" s="21">
        <f t="shared" ca="1" si="1"/>
        <v>0</v>
      </c>
      <c r="M16" s="21">
        <f t="shared" si="1"/>
        <v>0</v>
      </c>
      <c r="N16" s="21">
        <f t="shared" ca="1" si="1"/>
        <v>4143.594287830585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0.21237418864479302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5701.3456065812461</v>
      </c>
      <c r="C20" s="23">
        <f t="shared" ref="C20:P20" ca="1" si="2">C16*C18</f>
        <v>0</v>
      </c>
      <c r="D20" s="23">
        <f t="shared" ca="1" si="2"/>
        <v>6935.547787039859</v>
      </c>
      <c r="E20" s="23">
        <f t="shared" si="2"/>
        <v>63.841961920592688</v>
      </c>
      <c r="F20" s="23">
        <f t="shared" ca="1" si="2"/>
        <v>1126.4101869496958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5670.9070000000002</v>
      </c>
      <c r="C26" s="39">
        <f>IF(ISERROR(B26*3.6/1000000/'E Balans VL '!Z12*100),0,B26*3.6/1000000/'E Balans VL '!Z12*100)</f>
        <v>0.1245680284800143</v>
      </c>
      <c r="D26" s="237" t="s">
        <v>691</v>
      </c>
      <c r="F26" s="6"/>
    </row>
    <row r="27" spans="1:18">
      <c r="A27" s="231" t="s">
        <v>52</v>
      </c>
      <c r="B27" s="33">
        <f>IF(ISERROR(TER_horeca_ele_kWh/1000),0,TER_horeca_ele_kWh/1000)</f>
        <v>2898.4009999999998</v>
      </c>
      <c r="C27" s="39">
        <f>IF(ISERROR(B27*3.6/1000000/'E Balans VL '!Z9*100),0,B27*3.6/1000000/'E Balans VL '!Z9*100)</f>
        <v>0.23291541195240903</v>
      </c>
      <c r="D27" s="237" t="s">
        <v>691</v>
      </c>
      <c r="F27" s="6"/>
    </row>
    <row r="28" spans="1:18">
      <c r="A28" s="171" t="s">
        <v>51</v>
      </c>
      <c r="B28" s="33">
        <f>IF(ISERROR(TER_handel_ele_kWh/1000),0,TER_handel_ele_kWh/1000)</f>
        <v>7934.0029999999997</v>
      </c>
      <c r="C28" s="39">
        <f>IF(ISERROR(B28*3.6/1000000/'E Balans VL '!Z13*100),0,B28*3.6/1000000/'E Balans VL '!Z13*100)</f>
        <v>0.23460292589912415</v>
      </c>
      <c r="D28" s="237" t="s">
        <v>691</v>
      </c>
      <c r="F28" s="6"/>
    </row>
    <row r="29" spans="1:18">
      <c r="A29" s="231" t="s">
        <v>50</v>
      </c>
      <c r="B29" s="33">
        <f>IF(ISERROR(TER_gezond_ele_kWh/1000),0,TER_gezond_ele_kWh/1000)</f>
        <v>576.20140000000004</v>
      </c>
      <c r="C29" s="39">
        <f>IF(ISERROR(B29*3.6/1000000/'E Balans VL '!Z10*100),0,B29*3.6/1000000/'E Balans VL '!Z10*100)</f>
        <v>6.4923021571193118E-2</v>
      </c>
      <c r="D29" s="237" t="s">
        <v>691</v>
      </c>
      <c r="F29" s="6"/>
    </row>
    <row r="30" spans="1:18">
      <c r="A30" s="231" t="s">
        <v>49</v>
      </c>
      <c r="B30" s="33">
        <f>IF(ISERROR(TER_ander_ele_kWh/1000),0,TER_ander_ele_kWh/1000)</f>
        <v>5172.2269999999999</v>
      </c>
      <c r="C30" s="39">
        <f>IF(ISERROR(B30*3.6/1000000/'E Balans VL '!Z14*100),0,B30*3.6/1000000/'E Balans VL '!Z14*100)</f>
        <v>0.39116668648731562</v>
      </c>
      <c r="D30" s="237" t="s">
        <v>691</v>
      </c>
      <c r="F30" s="6"/>
    </row>
    <row r="31" spans="1:18">
      <c r="A31" s="231" t="s">
        <v>54</v>
      </c>
      <c r="B31" s="33">
        <f>IF(ISERROR(TER_onderwijs_ele_kWh/1000),0,TER_onderwijs_ele_kWh/1000)</f>
        <v>214.5274</v>
      </c>
      <c r="C31" s="39">
        <f>IF(ISERROR(B31*3.6/1000000/'E Balans VL '!Z11*100),0,B31*3.6/1000000/'E Balans VL '!Z11*100)</f>
        <v>4.4530908200204222E-2</v>
      </c>
      <c r="D31" s="237" t="s">
        <v>691</v>
      </c>
    </row>
    <row r="32" spans="1:18">
      <c r="A32" s="231" t="s">
        <v>259</v>
      </c>
      <c r="B32" s="33">
        <f>IF(ISERROR(TER_rest_ele_kWh/1000),0,TER_rest_ele_kWh/1000)</f>
        <v>4379.4889999999996</v>
      </c>
      <c r="C32" s="39">
        <f>IF(ISERROR(B32*3.6/1000000/'E Balans VL '!Z8*100),0,B32*3.6/1000000/'E Balans VL '!Z8*100)</f>
        <v>3.6894618458869016E-2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3519.6873699999996</v>
      </c>
      <c r="C5" s="17">
        <f>IF(ISERROR('Eigen informatie GS &amp; warmtenet'!B59),0,'Eigen informatie GS &amp; warmtenet'!B59)</f>
        <v>0</v>
      </c>
      <c r="D5" s="30">
        <f>SUM(D6:D15)</f>
        <v>3256.9154164412093</v>
      </c>
      <c r="E5" s="17">
        <f>SUM(E6:E15)</f>
        <v>469.01334570303436</v>
      </c>
      <c r="F5" s="17">
        <f>SUM(F6:F15)</f>
        <v>2097.7267536784116</v>
      </c>
      <c r="G5" s="18"/>
      <c r="H5" s="17"/>
      <c r="I5" s="17"/>
      <c r="J5" s="17">
        <f>SUM(J6:J15)</f>
        <v>13.369787937912029</v>
      </c>
      <c r="K5" s="17"/>
      <c r="L5" s="17"/>
      <c r="M5" s="17"/>
      <c r="N5" s="17">
        <f>SUM(N6:N15)</f>
        <v>392.48568096722005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72.537270000000007</v>
      </c>
      <c r="C8" s="33"/>
      <c r="D8" s="37">
        <f>IF( ISERROR(IND_metaal_Gas_kWH/1000),0,IND_metaal_Gas_kWH/1000)*0.902</f>
        <v>0</v>
      </c>
      <c r="E8" s="33">
        <f>C30*'E Balans VL '!I18/100/3.6*1000000</f>
        <v>1.8153539930939175</v>
      </c>
      <c r="F8" s="33">
        <f>C30*'E Balans VL '!L18/100/3.6*1000000+C30*'E Balans VL '!N18/100/3.6*1000000</f>
        <v>22.733541236937167</v>
      </c>
      <c r="G8" s="34"/>
      <c r="H8" s="33"/>
      <c r="I8" s="33"/>
      <c r="J8" s="40">
        <f>C30*'E Balans VL '!D18/100/3.6*1000000+C30*'E Balans VL '!E18/100/3.6*1000000</f>
        <v>0</v>
      </c>
      <c r="K8" s="33"/>
      <c r="L8" s="33"/>
      <c r="M8" s="33"/>
      <c r="N8" s="33">
        <f>C30*'E Balans VL '!Y18/100/3.6*1000000</f>
        <v>1.822324473031232</v>
      </c>
      <c r="O8" s="33"/>
      <c r="P8" s="33"/>
      <c r="R8" s="32"/>
    </row>
    <row r="9" spans="1:18">
      <c r="A9" s="6" t="s">
        <v>32</v>
      </c>
      <c r="B9" s="37">
        <f t="shared" si="0"/>
        <v>1449.547</v>
      </c>
      <c r="C9" s="33"/>
      <c r="D9" s="37">
        <f>IF( ISERROR(IND_andere_gas_kWh/1000),0,IND_andere_gas_kWh/1000)*0.902</f>
        <v>1275.6705088696892</v>
      </c>
      <c r="E9" s="33">
        <f>C31*'E Balans VL '!I19/100/3.6*1000000</f>
        <v>398.56597174920853</v>
      </c>
      <c r="F9" s="33">
        <f>C31*'E Balans VL '!L19/100/3.6*1000000+C31*'E Balans VL '!N19/100/3.6*1000000</f>
        <v>1142.4952752882659</v>
      </c>
      <c r="G9" s="34"/>
      <c r="H9" s="33"/>
      <c r="I9" s="33"/>
      <c r="J9" s="40">
        <f>C31*'E Balans VL '!D19/100/3.6*1000000+C31*'E Balans VL '!E19/100/3.6*1000000</f>
        <v>0</v>
      </c>
      <c r="K9" s="33"/>
      <c r="L9" s="33"/>
      <c r="M9" s="33"/>
      <c r="N9" s="33">
        <f>C31*'E Balans VL '!Y19/100/3.6*1000000</f>
        <v>116.77641975997554</v>
      </c>
      <c r="O9" s="33"/>
      <c r="P9" s="33"/>
      <c r="R9" s="32"/>
    </row>
    <row r="10" spans="1:18">
      <c r="A10" s="6" t="s">
        <v>40</v>
      </c>
      <c r="B10" s="37">
        <f t="shared" si="0"/>
        <v>336.79480000000001</v>
      </c>
      <c r="C10" s="33"/>
      <c r="D10" s="37">
        <f>IF( ISERROR(IND_voed_gas_kWh/1000),0,IND_voed_gas_kWh/1000)*0.902</f>
        <v>267.40360140096061</v>
      </c>
      <c r="E10" s="33">
        <f>C32*'E Balans VL '!I20/100/3.6*1000000</f>
        <v>3.4334374446859761</v>
      </c>
      <c r="F10" s="33">
        <f>C32*'E Balans VL '!L20/100/3.6*1000000+C32*'E Balans VL '!N20/100/3.6*1000000</f>
        <v>636.20327075186344</v>
      </c>
      <c r="G10" s="34"/>
      <c r="H10" s="33"/>
      <c r="I10" s="33"/>
      <c r="J10" s="40">
        <f>C32*'E Balans VL '!D20/100/3.6*1000000+C32*'E Balans VL '!E20/100/3.6*1000000</f>
        <v>8.0606015615747797</v>
      </c>
      <c r="K10" s="33"/>
      <c r="L10" s="33"/>
      <c r="M10" s="33"/>
      <c r="N10" s="33">
        <f>C32*'E Balans VL '!Y20/100/3.6*1000000</f>
        <v>177.5296536039009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395.30930000000001</v>
      </c>
      <c r="C13" s="33"/>
      <c r="D13" s="37">
        <f>IF( ISERROR(IND_papier_gas_kWh/1000),0,IND_papier_gas_kWh/1000)*0.902</f>
        <v>143.66633482328172</v>
      </c>
      <c r="E13" s="33">
        <f>C35*'E Balans VL '!I23/100/3.6*1000000</f>
        <v>0.81871224303524104</v>
      </c>
      <c r="F13" s="33">
        <f>C35*'E Balans VL '!L23/100/3.6*1000000+C35*'E Balans VL '!N23/100/3.6*1000000</f>
        <v>7.839830894781163</v>
      </c>
      <c r="G13" s="34"/>
      <c r="H13" s="33"/>
      <c r="I13" s="33"/>
      <c r="J13" s="40">
        <f>C35*'E Balans VL '!D23/100/3.6*1000000+C35*'E Balans VL '!E23/100/3.6*1000000</f>
        <v>0</v>
      </c>
      <c r="K13" s="33"/>
      <c r="L13" s="33"/>
      <c r="M13" s="33"/>
      <c r="N13" s="33">
        <f>C35*'E Balans VL '!Y23/100/3.6*1000000</f>
        <v>27.416698064385201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1265.499</v>
      </c>
      <c r="C15" s="33"/>
      <c r="D15" s="37">
        <f>IF( ISERROR(IND_rest_gas_kWh/1000),0,IND_rest_gas_kWh/1000)*0.902</f>
        <v>1570.1749713472782</v>
      </c>
      <c r="E15" s="33">
        <f>C37*'E Balans VL '!I15/100/3.6*1000000</f>
        <v>64.379870273010681</v>
      </c>
      <c r="F15" s="33">
        <f>C37*'E Balans VL '!L15/100/3.6*1000000+C37*'E Balans VL '!N15/100/3.6*1000000</f>
        <v>288.45483550656388</v>
      </c>
      <c r="G15" s="34"/>
      <c r="H15" s="33"/>
      <c r="I15" s="33"/>
      <c r="J15" s="40">
        <f>C37*'E Balans VL '!D15/100/3.6*1000000+C37*'E Balans VL '!E15/100/3.6*1000000</f>
        <v>5.3091863763372498</v>
      </c>
      <c r="K15" s="33"/>
      <c r="L15" s="33"/>
      <c r="M15" s="33"/>
      <c r="N15" s="33">
        <f>C37*'E Balans VL '!Y15/100/3.6*1000000</f>
        <v>68.940585065927209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3519.6873699999996</v>
      </c>
      <c r="C18" s="21">
        <f>C5+C16</f>
        <v>0</v>
      </c>
      <c r="D18" s="21">
        <f>MAX((D5+D16),0)</f>
        <v>3256.9154164412093</v>
      </c>
      <c r="E18" s="21">
        <f>MAX((E5+E16),0)</f>
        <v>469.01334570303436</v>
      </c>
      <c r="F18" s="21">
        <f>MAX((F5+F16),0)</f>
        <v>2097.7267536784116</v>
      </c>
      <c r="G18" s="21"/>
      <c r="H18" s="21"/>
      <c r="I18" s="21"/>
      <c r="J18" s="21">
        <f>MAX((J5+J16),0)</f>
        <v>13.369787937912029</v>
      </c>
      <c r="K18" s="21"/>
      <c r="L18" s="21">
        <f>MAX((L5+L16),0)</f>
        <v>0</v>
      </c>
      <c r="M18" s="21"/>
      <c r="N18" s="21">
        <f>MAX((N5+N16),0)</f>
        <v>392.48568096722005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0.21237418864479302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747.49074948707528</v>
      </c>
      <c r="C22" s="23">
        <f ca="1">C18*C20</f>
        <v>0</v>
      </c>
      <c r="D22" s="23">
        <f>D18*D20</f>
        <v>657.89691412112438</v>
      </c>
      <c r="E22" s="23">
        <f>E18*E20</f>
        <v>106.46602947458881</v>
      </c>
      <c r="F22" s="23">
        <f>F18*F20</f>
        <v>560.09304323213587</v>
      </c>
      <c r="G22" s="23"/>
      <c r="H22" s="23"/>
      <c r="I22" s="23"/>
      <c r="J22" s="23">
        <f>J18*J20</f>
        <v>4.7329049300208581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72.537270000000007</v>
      </c>
      <c r="C30" s="39">
        <f>IF(ISERROR(B30*3.6/1000000/'E Balans VL '!Z18*100),0,B30*3.6/1000000/'E Balans VL '!Z18*100)</f>
        <v>1.0152800468772255E-2</v>
      </c>
      <c r="D30" s="237" t="s">
        <v>691</v>
      </c>
    </row>
    <row r="31" spans="1:18">
      <c r="A31" s="6" t="s">
        <v>32</v>
      </c>
      <c r="B31" s="37">
        <f>IF( ISERROR(IND_ander_ele_kWh/1000),0,IND_ander_ele_kWh/1000)</f>
        <v>1449.547</v>
      </c>
      <c r="C31" s="39">
        <f>IF(ISERROR(B31*3.6/1000000/'E Balans VL '!Z19*100),0,B31*3.6/1000000/'E Balans VL '!Z19*100)</f>
        <v>6.3446437040067818E-2</v>
      </c>
      <c r="D31" s="237" t="s">
        <v>691</v>
      </c>
    </row>
    <row r="32" spans="1:18">
      <c r="A32" s="171" t="s">
        <v>40</v>
      </c>
      <c r="B32" s="37">
        <f>IF( ISERROR(IND_voed_ele_kWh/1000),0,IND_voed_ele_kWh/1000)</f>
        <v>336.79480000000001</v>
      </c>
      <c r="C32" s="39">
        <f>IF(ISERROR(B32*3.6/1000000/'E Balans VL '!Z20*100),0,B32*3.6/1000000/'E Balans VL '!Z20*100)</f>
        <v>8.3379208076368075E-2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395.30930000000001</v>
      </c>
      <c r="C35" s="39">
        <f>IF(ISERROR(B35*3.6/1000000/'E Balans VL '!Z22*100),0,B35*3.6/1000000/'E Balans VL '!Z22*100)</f>
        <v>1.1217265158733728E-2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1265.499</v>
      </c>
      <c r="C37" s="39">
        <f>IF(ISERROR(B37*3.6/1000000/'E Balans VL '!Z15*100),0,B37*3.6/1000000/'E Balans VL '!Z15*100)</f>
        <v>9.3834584224028097E-3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615.78168999999991</v>
      </c>
      <c r="C5" s="17">
        <f>'Eigen informatie GS &amp; warmtenet'!B60</f>
        <v>0</v>
      </c>
      <c r="D5" s="30">
        <f>IF(ISERROR(SUM(LB_lb_gas_kWh,LB_rest_gas_kWh)/1000),0,SUM(LB_lb_gas_kWh,LB_rest_gas_kWh)/1000)*0.902</f>
        <v>1088.8943737456177</v>
      </c>
      <c r="E5" s="17">
        <f>B17*'E Balans VL '!I25/3.6*1000000/100</f>
        <v>5.7036279258596378</v>
      </c>
      <c r="F5" s="17">
        <f>B17*('E Balans VL '!L25/3.6*1000000+'E Balans VL '!N25/3.6*1000000)/100</f>
        <v>1562.3554538215626</v>
      </c>
      <c r="G5" s="18"/>
      <c r="H5" s="17"/>
      <c r="I5" s="17"/>
      <c r="J5" s="17">
        <f>('E Balans VL '!D25+'E Balans VL '!E25)/3.6*1000000*landbouw!B17/100</f>
        <v>94.406205220717396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615.78168999999991</v>
      </c>
      <c r="C8" s="21">
        <f>C5+C6</f>
        <v>0</v>
      </c>
      <c r="D8" s="21">
        <f>MAX((D5+D6),0)</f>
        <v>1088.8943737456177</v>
      </c>
      <c r="E8" s="21">
        <f>MAX((E5+E6),0)</f>
        <v>5.7036279258596378</v>
      </c>
      <c r="F8" s="21">
        <f>MAX((F5+F6),0)</f>
        <v>1562.3554538215626</v>
      </c>
      <c r="G8" s="21"/>
      <c r="H8" s="21"/>
      <c r="I8" s="21"/>
      <c r="J8" s="21">
        <f>MAX((J5+J6),0)</f>
        <v>94.406205220717396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0.21237418864479302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130.77613679606944</v>
      </c>
      <c r="C12" s="23">
        <f ca="1">C8*C10</f>
        <v>0</v>
      </c>
      <c r="D12" s="23">
        <f>D8*D10</f>
        <v>219.95666349661479</v>
      </c>
      <c r="E12" s="23">
        <f>E8*E10</f>
        <v>1.2947235391701379</v>
      </c>
      <c r="F12" s="23">
        <f>F8*F10</f>
        <v>417.14890617035724</v>
      </c>
      <c r="G12" s="23"/>
      <c r="H12" s="23"/>
      <c r="I12" s="23"/>
      <c r="J12" s="23">
        <f>J8*J10</f>
        <v>33.419796648133953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8.7551099489311293E-2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45.424297907221607</v>
      </c>
      <c r="C26" s="247">
        <f>B26*'GWP N2O_CH4'!B5</f>
        <v>953.91025605165373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7.4430785453515167</v>
      </c>
      <c r="C27" s="247">
        <f>B27*'GWP N2O_CH4'!B5</f>
        <v>156.30464945238185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0.53978920422559917</v>
      </c>
      <c r="C28" s="247">
        <f>B28*'GWP N2O_CH4'!B4</f>
        <v>167.33465330993573</v>
      </c>
      <c r="D28" s="50"/>
    </row>
    <row r="29" spans="1:4">
      <c r="A29" s="41" t="s">
        <v>276</v>
      </c>
      <c r="B29" s="247">
        <f>B34*'ha_N2O bodem landbouw'!B4</f>
        <v>10.399685608862914</v>
      </c>
      <c r="C29" s="247">
        <f>B29*'GWP N2O_CH4'!B4</f>
        <v>3223.9025387475031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2.3324662675788675E-3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1.4376657057461648E-4</v>
      </c>
      <c r="C5" s="438" t="s">
        <v>210</v>
      </c>
      <c r="D5" s="423">
        <f>SUM(D6:D11)</f>
        <v>2.7750061304017046E-4</v>
      </c>
      <c r="E5" s="423">
        <f>SUM(E6:E11)</f>
        <v>3.0306149360172416E-3</v>
      </c>
      <c r="F5" s="436" t="s">
        <v>210</v>
      </c>
      <c r="G5" s="423">
        <f>SUM(G6:G11)</f>
        <v>0.84925645197077593</v>
      </c>
      <c r="H5" s="423">
        <f>SUM(H6:H11)</f>
        <v>0.17309222439728511</v>
      </c>
      <c r="I5" s="438" t="s">
        <v>210</v>
      </c>
      <c r="J5" s="438" t="s">
        <v>210</v>
      </c>
      <c r="K5" s="438" t="s">
        <v>210</v>
      </c>
      <c r="L5" s="438" t="s">
        <v>210</v>
      </c>
      <c r="M5" s="423">
        <f>SUM(M6:M11)</f>
        <v>5.4517279031480632E-2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3.5491945821827843E-5</v>
      </c>
      <c r="C6" s="424"/>
      <c r="D6" s="866">
        <f>vkm_GW_PW*SUMIFS(TableVerdeelsleutelVkm[CNG],TableVerdeelsleutelVkm[Voertuigtype],"Lichte voertuigen")*SUMIFS(TableECFTransport[EnergieConsumptieFactor (PJ per km)],TableECFTransport[Index],CONCATENATE($A6,"_CNG_CNG"))</f>
        <v>6.1932894884743174E-5</v>
      </c>
      <c r="E6" s="866">
        <f>vkm_GW_PW*SUMIFS(TableVerdeelsleutelVkm[LPG],TableVerdeelsleutelVkm[Voertuigtype],"Lichte voertuigen")*SUMIFS(TableECFTransport[EnergieConsumptieFactor (PJ per km)],TableECFTransport[Index],CONCATENATE($A6,"_LPG_LPG"))</f>
        <v>5.9985053145014254E-4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0.1409751964787016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3.7927347927257056E-2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9.3302333350388147E-3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2.8791793085048121E-2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5.583643856957193E-7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1.6692830717805617E-3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1.9865329768539699E-5</v>
      </c>
      <c r="C8" s="424"/>
      <c r="D8" s="426">
        <f>vkm_NGW_PW*SUMIFS(TableVerdeelsleutelVkm[CNG],TableVerdeelsleutelVkm[Voertuigtype],"Lichte voertuigen")*SUMIFS(TableECFTransport[EnergieConsumptieFactor (PJ per km)],TableECFTransport[Index],CONCATENATE($A8,"_CNG_CNG"))</f>
        <v>5.9358630016575405E-5</v>
      </c>
      <c r="E8" s="426">
        <f>vkm_NGW_PW*SUMIFS(TableVerdeelsleutelVkm[LPG],TableVerdeelsleutelVkm[Voertuigtype],"Lichte voertuigen")*SUMIFS(TableECFTransport[EnergieConsumptieFactor (PJ per km)],TableECFTransport[Index],CONCATENATE($A8,"_LPG_LPG"))</f>
        <v>5.4407562442531537E-4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0.1200240641574811</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3.5098324402571185E-2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8.0292530617127982E-3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1.1496029479426335E-2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2.7615516040738359E-7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6.6651542254800582E-4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8.8409294984248942E-5</v>
      </c>
      <c r="C10" s="424"/>
      <c r="D10" s="426">
        <f>vkm_SW_PW*SUMIFS(TableVerdeelsleutelVkm[CNG],TableVerdeelsleutelVkm[Voertuigtype],"Lichte voertuigen")*SUMIFS(TableECFTransport[EnergieConsumptieFactor (PJ per km)],TableECFTransport[Index],CONCATENATE($A10,"_CNG_CNG"))</f>
        <v>1.5620908813885191E-4</v>
      </c>
      <c r="E10" s="426">
        <f>vkm_SW_PW*SUMIFS(TableVerdeelsleutelVkm[LPG],TableVerdeelsleutelVkm[Voertuigtype],"Lichte voertuigen")*SUMIFS(TableECFTransport[EnergieConsumptieFactor (PJ per km)],TableECFTransport[Index],CONCATENATE($A10,"_LPG_LPG"))</f>
        <v>1.8866887801417837E-3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0.3986971166894554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0.10006264167188655</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2.6167520911868185E-2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0.14927225208066328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3.0758760242094953E-6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8.6544732285322671E-3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39.935158492949022</v>
      </c>
      <c r="C14" s="21"/>
      <c r="D14" s="21">
        <f t="shared" ref="D14:M14" si="0">((D5)*10^9/3600)+D12</f>
        <v>77.083503622269575</v>
      </c>
      <c r="E14" s="21">
        <f t="shared" si="0"/>
        <v>841.83748222701161</v>
      </c>
      <c r="F14" s="21"/>
      <c r="G14" s="21">
        <f t="shared" si="0"/>
        <v>235904.56999188222</v>
      </c>
      <c r="H14" s="21">
        <f t="shared" si="0"/>
        <v>48081.173443690306</v>
      </c>
      <c r="I14" s="21"/>
      <c r="J14" s="21"/>
      <c r="K14" s="21"/>
      <c r="L14" s="21"/>
      <c r="M14" s="21">
        <f t="shared" si="0"/>
        <v>15143.688619855731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0.21237418864479302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8.4811968833412639</v>
      </c>
      <c r="C18" s="23"/>
      <c r="D18" s="23">
        <f t="shared" ref="D18:M18" si="1">D14*D16</f>
        <v>15.570867731698455</v>
      </c>
      <c r="E18" s="23">
        <f t="shared" si="1"/>
        <v>191.09710846553165</v>
      </c>
      <c r="F18" s="23"/>
      <c r="G18" s="23">
        <f t="shared" si="1"/>
        <v>62986.520187832553</v>
      </c>
      <c r="H18" s="23">
        <f t="shared" si="1"/>
        <v>11972.212187478886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1.4582099090219233E-2</v>
      </c>
      <c r="H50" s="319">
        <f t="shared" si="2"/>
        <v>0</v>
      </c>
      <c r="I50" s="319">
        <f t="shared" si="2"/>
        <v>0</v>
      </c>
      <c r="J50" s="319">
        <f t="shared" si="2"/>
        <v>0</v>
      </c>
      <c r="K50" s="319">
        <f t="shared" si="2"/>
        <v>0</v>
      </c>
      <c r="L50" s="319">
        <f t="shared" si="2"/>
        <v>0</v>
      </c>
      <c r="M50" s="319">
        <f t="shared" si="2"/>
        <v>8.3346840034688734E-4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1.4582099090219233E-2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8.3346840034688734E-4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4050.5830806164536</v>
      </c>
      <c r="H54" s="21">
        <f t="shared" si="3"/>
        <v>0</v>
      </c>
      <c r="I54" s="21">
        <f t="shared" si="3"/>
        <v>0</v>
      </c>
      <c r="J54" s="21">
        <f t="shared" si="3"/>
        <v>0</v>
      </c>
      <c r="K54" s="21">
        <f t="shared" si="3"/>
        <v>0</v>
      </c>
      <c r="L54" s="21">
        <f t="shared" si="3"/>
        <v>0</v>
      </c>
      <c r="M54" s="21">
        <f t="shared" si="3"/>
        <v>231.51900009635759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0.21237418864479302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1081.5056825245931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29.585650224215247</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3077.3900437554521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3106.9756939796675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2020-06-20T16:04:33Z</dcterms:modified>
</cp:coreProperties>
</file>