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D4" i="48"/>
  <c r="D22" i="48" s="1"/>
  <c r="E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F24" i="14"/>
  <c r="F26" i="14" s="1"/>
  <c r="E7" i="48"/>
  <c r="E25" i="48" s="1"/>
  <c r="O22" i="16"/>
  <c r="P43" i="14" s="1"/>
  <c r="O8" i="48"/>
  <c r="O26" i="48" s="1"/>
  <c r="P13" i="14"/>
  <c r="P16" i="14" s="1"/>
  <c r="P27" i="14" s="1"/>
  <c r="Q46" i="14"/>
  <c r="Q61" i="14" s="1"/>
  <c r="Q63" i="14" s="1"/>
  <c r="P46" i="14"/>
  <c r="P61" i="14" s="1"/>
  <c r="P63"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O33" i="48"/>
  <c r="O15" i="48"/>
  <c r="J5" i="48"/>
  <c r="J23" i="48" s="1"/>
  <c r="K10" i="14"/>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<sst xmlns="http://schemas.openxmlformats.org/spreadsheetml/2006/main" count="2434" uniqueCount="913">
  <si>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</si>
  <si>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</si>
  <si>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</si>
  <si>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</si>
  <si>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</si>
  <si>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</si>
  <si>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</si>
  <si>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</si>
  <si>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</si>
  <si>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</si>
  <si>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</si>
  <si>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</si>
  <si>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</si>
  <si>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</si>
  <si>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</si>
  <si>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</si>
  <si>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</si>
  <si>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</si>
  <si>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</si>
  <si>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</si>
  <si>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</si>
  <si>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</si>
  <si>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</si>
  <si>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</si>
  <si>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</si>
  <si>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</si>
  <si>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</si>
  <si>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</si>
  <si>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</si>
  <si>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</si>
  <si>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</si>
  <si>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</si>
  <si>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</si>
  <si>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</si>
  <si>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</si>
  <si>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</si>
  <si>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</si>
  <si>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</si>
  <si>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</si>
  <si>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</si>
  <si>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</si>
  <si>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</si>
  <si>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</si>
  <si>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</si>
  <si>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</si>
  <si>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</si>
  <si>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</si>
  <si>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</si>
  <si>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</si>
  <si>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</si>
  <si>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</si>
  <si>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</si>
  <si>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</si>
  <si>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</si>
  <si>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</si>
  <si>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</si>
  <si>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</si>
  <si>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</si>
  <si>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</si>
  <si>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</si>
  <si>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</si>
  <si>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</si>
  <si>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</si>
  <si>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</si>
  <si>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</si>
  <si>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</si>
  <si>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</si>
  <si>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</si>
  <si>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</si>
  <si>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</si>
  <si>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</si>
  <si>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</si>
  <si>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</si>
  <si>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</si>
  <si>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</si>
  <si>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</si>
  <si>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</si>
  <si>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</si>
  <si>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</si>
  <si>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</si>
  <si>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</si>
  <si>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</si>
  <si>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</si>
  <si>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</si>
  <si>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</si>
  <si>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</si>
  <si>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</si>
  <si>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</si>
  <si>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</si>
  <si>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</si>
  <si>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</si>
  <si>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</si>
  <si>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</si>
  <si>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</si>
  <si>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</si>
  <si>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</si>
  <si>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</si>
  <si>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</si>
  <si>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</si>
  <si>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</si>
  <si>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</si>
  <si>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</si>
  <si>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</si>
  <si>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</si>
  <si>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</si>
  <si>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</si>
  <si>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</si>
  <si>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</si>
  <si>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</si>
  <si>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</si>
  <si>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</si>
  <si>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</si>
  <si>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</si>
  <si>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</si>
  <si>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</si>
  <si>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</si>
  <si>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</si>
  <si>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</si>
  <si>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</si>
  <si>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</si>
  <si>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</si>
  <si>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</si>
  <si>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</si>
  <si>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</si>
  <si>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</si>
  <si>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</si>
  <si>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</si>
  <si>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</si>
  <si>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</si>
  <si>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</si>
  <si>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</si>
  <si>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</si>
  <si>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</si>
  <si>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</si>
  <si>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</si>
  <si>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</si>
  <si>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</si>
  <si>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</si>
  <si>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</si>
  <si>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</si>
  <si>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</si>
  <si>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</si>
  <si>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</si>
  <si>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</si>
  <si>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</si>
  <si>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</si>
  <si>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</si>
  <si>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</si>
  <si>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</si>
  <si>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</si>
  <si>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</si>
  <si>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</si>
  <si>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</si>
  <si>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</si>
  <si>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</si>
  <si>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</si>
  <si>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</si>
  <si>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</si>
  <si>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</si>
  <si>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</si>
  <si>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</si>
  <si>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</si>
  <si>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</si>
  <si>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</si>
  <si>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</si>
  <si>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</si>
  <si>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</si>
  <si>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</si>
  <si>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</si>
  <si>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</si>
  <si>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</si>
  <si>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</si>
  <si>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</si>
  <si>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</si>
  <si>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</si>
  <si>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</si>
  <si>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</si>
  <si>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</si>
  <si>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</si>
  <si>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</si>
  <si>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</si>
  <si>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</si>
  <si>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</si>
  <si>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</si>
  <si>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</si>
  <si>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</si>
  <si>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</si>
  <si>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</si>
  <si>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</si>
  <si>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</si>
  <si>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</si>
  <si>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</si>
  <si>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</si>
  <si>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</si>
  <si>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</si>
  <si>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</si>
  <si>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</si>
  <si>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</si>
  <si>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</si>
  <si>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</si>
  <si>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</si>
  <si>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</si>
  <si>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</si>
  <si>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</si>
  <si>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</si>
  <si>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</si>
  <si>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</si>
  <si>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</si>
  <si>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</si>
  <si>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</si>
  <si>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</si>
  <si>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</si>
  <si>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</si>
  <si>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</si>
  <si>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</si>
  <si>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</si>
  <si>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</si>
  <si>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</si>
  <si>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</si>
  <si>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</si>
  <si>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</si>
  <si>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</si>
  <si>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</si>
  <si>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</si>
  <si>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</si>
  <si>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</si>
  <si>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</si>
  <si>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</si>
  <si>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</si>
  <si>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</si>
  <si>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</si>
  <si>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</si>
  <si>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</si>
  <si>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</si>
  <si>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</si>
  <si>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</si>
  <si>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</si>
  <si>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</si>
  <si>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</si>
  <si>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</si>
  <si>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</si>
  <si>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</si>
  <si>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</si>
  <si>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</si>
  <si>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</si>
  <si>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</si>
  <si>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</si>
  <si>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</si>
  <si>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</si>
  <si>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</si>
  <si>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</si>
  <si>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</si>
  <si>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</si>
  <si>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</si>
  <si>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</si>
  <si>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</si>
  <si>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</si>
  <si>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</si>
  <si>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</si>
  <si>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</si>
  <si>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</si>
  <si>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</si>
  <si>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</si>
  <si>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</si>
  <si>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</si>
  <si>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</si>
  <si>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</si>
  <si>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</si>
  <si>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</si>
  <si>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</si>
  <si>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</si>
  <si>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</si>
  <si>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</si>
  <si>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</si>
  <si>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</si>
  <si>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</si>
  <si>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</si>
  <si>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</si>
  <si>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</si>
  <si>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</si>
  <si>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</si>
  <si>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</si>
  <si>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</si>
  <si>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</si>
  <si>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</si>
  <si>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</si>
  <si>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</si>
  <si>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</si>
  <si>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</si>
  <si>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</si>
  <si>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</si>
  <si>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</si>
  <si>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</si>
  <si>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</si>
  <si>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</si>
  <si>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</si>
  <si>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</si>
  <si>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</si>
  <si>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</si>
  <si>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</si>
  <si>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</si>
  <si>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</si>
  <si>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</si>
  <si>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</si>
  <si>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</si>
  <si>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</si>
  <si>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</si>
  <si>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</si>
  <si>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</si>
  <si>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</si>
  <si>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</si>
  <si>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</si>
  <si>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</si>
  <si>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</si>
  <si>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</si>
  <si>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</si>
  <si>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</si>
  <si>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</si>
  <si>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</si>
  <si>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</si>
  <si>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</si>
  <si>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</si>
  <si>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</si>
  <si>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</si>
  <si>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</si>
  <si>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</si>
  <si>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</si>
  <si>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</si>
  <si>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</si>
  <si>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</si>
  <si>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</si>
  <si>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</si>
  <si>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</si>
  <si>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</si>
  <si>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</si>
  <si>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</si>
  <si>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</si>
  <si>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</si>
  <si>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</si>
  <si>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</si>
  <si>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</si>
  <si>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</si>
  <si>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</si>
  <si>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</si>
  <si>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</si>
  <si>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</si>
  <si>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</si>
  <si>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</si>
  <si>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</si>
  <si>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</si>
  <si>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</si>
  <si>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</si>
  <si>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</si>
  <si>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</si>
  <si>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</si>
  <si>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</si>
  <si>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</si>
  <si>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</si>
  <si>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</si>
  <si>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</si>
  <si>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</si>
  <si>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</si>
  <si>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</si>
  <si>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</si>
  <si>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</si>
  <si>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</si>
  <si>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</si>
  <si>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</si>
  <si>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</si>
  <si>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</si>
  <si>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</si>
  <si>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</si>
  <si>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</si>
  <si>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</si>
  <si>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</si>
  <si>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</si>
  <si>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</si>
  <si>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</si>
  <si>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</si>
  <si>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</si>
  <si>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</si>
  <si>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</si>
  <si>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</si>
  <si>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</si>
  <si>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</si>
  <si>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</si>
  <si>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</si>
  <si>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</si>
  <si>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</si>
  <si>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</si>
  <si>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</si>
  <si>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</si>
  <si>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</si>
  <si>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</si>
  <si>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</si>
  <si>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</si>
  <si>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</si>
  <si>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</si>
  <si>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</si>
  <si>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</si>
  <si>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</si>
  <si>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</si>
  <si>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</si>
  <si>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</si>
  <si>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</si>
  <si>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</si>
  <si>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</si>
  <si>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</si>
  <si>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</si>
  <si>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</si>
  <si>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</si>
  <si>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</si>
  <si>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</si>
  <si>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</si>
  <si>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</si>
  <si>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</si>
  <si>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</si>
  <si>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</si>
  <si>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</si>
  <si>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</si>
  <si>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</si>
  <si>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</si>
  <si>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</si>
  <si>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</si>
  <si>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</si>
  <si>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</si>
  <si>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</si>
  <si>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</si>
  <si>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</si>
  <si>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</si>
  <si>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</si>
  <si>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</si>
  <si>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</si>
  <si>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</si>
  <si>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</si>
  <si>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</si>
  <si>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</si>
  <si>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</si>
  <si>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</si>
  <si>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</si>
  <si>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</si>
  <si>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</si>
  <si>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</si>
  <si>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</si>
  <si>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</si>
  <si>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</si>
  <si>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</si>
  <si>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</si>
  <si>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</si>
  <si>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</si>
  <si>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</si>
  <si>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</si>
  <si>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</si>
  <si>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</si>
  <si>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</si>
  <si>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</si>
  <si>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</si>
  <si>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</si>
  <si>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</si>
  <si>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</si>
  <si>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</si>
  <si>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</si>
  <si>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</si>
  <si>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</si>
  <si>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</si>
  <si>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</si>
  <si>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</si>
  <si>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</si>
  <si>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</si>
  <si>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</si>
  <si>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</si>
  <si>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</si>
  <si>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</si>
  <si>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</si>
  <si>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</si>
  <si>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</si>
  <si>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</si>
  <si>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</si>
  <si>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</si>
  <si>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</si>
  <si>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</si>
  <si>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</si>
  <si>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</si>
  <si>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</si>
  <si>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</si>
  <si>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</si>
  <si>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</si>
  <si>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</si>
  <si>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</si>
  <si>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</si>
  <si>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</si>
  <si>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</si>
  <si>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</si>
  <si>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</si>
  <si>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</si>
  <si>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</si>
  <si>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</si>
  <si>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</si>
  <si>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</si>
  <si>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</si>
  <si>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</si>
  <si>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</si>
  <si>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</si>
  <si>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</si>
  <si>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</si>
  <si>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</si>
  <si>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</si>
  <si>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</si>
  <si>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</si>
  <si>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</si>
  <si>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</si>
  <si>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</si>
  <si>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</si>
  <si>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</si>
  <si>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</si>
  <si>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</si>
  <si>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</si>
  <si>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</si>
  <si>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</si>
  <si>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</si>
  <si>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</si>
  <si>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</si>
  <si>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</si>
  <si>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</si>
  <si>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</si>
  <si>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</si>
  <si>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</si>
  <si>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</si>
  <si>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</si>
  <si>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</si>
  <si>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</si>
  <si>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</si>
  <si>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</si>
  <si>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</si>
  <si>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</si>
  <si>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</si>
  <si>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</si>
  <si>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</si>
  <si>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</si>
  <si>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</si>
  <si>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</si>
  <si>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</si>
  <si>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</si>
  <si>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</si>
  <si>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</si>
  <si>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</si>
  <si>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</si>
  <si>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</si>
  <si>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</si>
  <si>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</si>
  <si>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</si>
  <si>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</si>
  <si>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</si>
  <si>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</si>
  <si>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</si>
  <si>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</si>
  <si>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</si>
  <si>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</si>
  <si>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</si>
  <si>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</si>
  <si>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</si>
  <si>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</si>
  <si>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</si>
  <si>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</si>
  <si>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</si>
  <si>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</si>
  <si>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</si>
  <si>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</si>
  <si>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</si>
  <si>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</si>
  <si>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</si>
  <si>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</si>
  <si>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</si>
  <si>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</si>
  <si>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</si>
  <si>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</si>
  <si>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</si>
  <si>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</si>
  <si>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</si>
  <si>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</si>
  <si>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</si>
  <si>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</si>
  <si>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</si>
  <si>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</si>
  <si>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</si>
  <si>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</si>
  <si>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</si>
  <si>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</si>
  <si>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</si>
  <si>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</si>
  <si>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</si>
  <si>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</si>
  <si>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</si>
  <si>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</si>
  <si>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</si>
  <si>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</si>
  <si>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</si>
  <si>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</si>
  <si>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</si>
  <si>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</si>
  <si>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</si>
  <si>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</si>
  <si>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</si>
  <si>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</si>
  <si>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</si>
  <si>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</si>
  <si>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</si>
  <si>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</si>
  <si>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</si>
  <si>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</si>
  <si>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</si>
  <si>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</si>
  <si>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</si>
  <si>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</si>
  <si>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</si>
  <si>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</si>
  <si>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</si>
  <si>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</si>
  <si>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</si>
  <si>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</si>
  <si>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</si>
  <si>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</si>
  <si>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</si>
  <si>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</si>
  <si>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</si>
  <si>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</si>
  <si>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</si>
  <si>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</si>
  <si>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</si>
  <si>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</si>
  <si>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</si>
  <si>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</si>
  <si>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</si>
  <si>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</si>
  <si>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</si>
  <si>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</si>
  <si>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</si>
  <si>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</si>
  <si>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</si>
  <si>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</si>
  <si>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</si>
  <si>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</si>
  <si>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</si>
  <si>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</si>
  <si>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</si>
  <si>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</si>
  <si>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</si>
  <si>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</si>
  <si>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</si>
  <si>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</si>
  <si>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</si>
  <si>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</si>
  <si>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</si>
  <si>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</si>
  <si>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</si>
  <si>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</si>
  <si>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</si>
  <si>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</si>
  <si>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</si>
  <si>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</si>
  <si>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</si>
  <si>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</si>
  <si>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</si>
  <si>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</si>
  <si>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</si>
  <si>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</si>
  <si>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</si>
  <si>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</si>
  <si>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</si>
  <si>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</si>
  <si>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</si>
  <si>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</si>
  <si>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</si>
  <si>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</si>
  <si>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</si>
  <si>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</si>
  <si>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</si>
  <si>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</si>
  <si>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</si>
  <si>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</si>
  <si>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</si>
  <si>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</si>
  <si>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</si>
  <si>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</si>
  <si>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</si>
  <si>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</si>
  <si>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</si>
  <si>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</si>
  <si>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</si>
  <si>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</si>
  <si>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</si>
  <si>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</si>
  <si>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</si>
  <si>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</si>
  <si>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</si>
  <si>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</si>
  <si>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</si>
  <si>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</si>
  <si>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</si>
  <si>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</si>
  <si>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</si>
  <si>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</si>
  <si>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</si>
  <si>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</si>
  <si>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</si>
  <si>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</si>
  <si>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</si>
  <si>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</si>
  <si>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</si>
  <si>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</si>
  <si>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</si>
  <si>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</si>
  <si>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</si>
  <si>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</si>
  <si>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</si>
  <si>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</si>
  <si>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</si>
  <si>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</si>
  <si>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</si>
  <si>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</si>
  <si>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</si>
  <si>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</si>
  <si>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</si>
  <si>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</si>
  <si>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</si>
  <si>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</si>
  <si>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</si>
  <si>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</si>
  <si>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</si>
  <si>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</si>
  <si>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</si>
  <si>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</si>
  <si>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</si>
  <si>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</si>
  <si>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</si>
  <si>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</si>
  <si>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</si>
  <si>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</si>
  <si>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</si>
  <si>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</si>
  <si>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</si>
  <si>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</si>
  <si>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</si>
  <si>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</si>
  <si>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</si>
  <si>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</si>
  <si>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</si>
  <si>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</si>
  <si>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</si>
  <si>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</si>
  <si>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</si>
  <si>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</si>
  <si>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</si>
  <si>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</si>
  <si>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</si>
  <si>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</si>
  <si>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</si>
  <si>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</si>
  <si>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</si>
  <si>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</si>
  <si>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</si>
  <si>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</si>
  <si>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</si>
  <si>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</si>
  <si>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</si>
  <si>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</si>
  <si>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</si>
  <si>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</si>
  <si>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</si>
  <si>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</si>
  <si>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</si>
  <si>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</si>
  <si>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</si>
  <si>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</si>
  <si>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</si>
  <si>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</si>
  <si>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</si>
  <si>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</si>
  <si>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</si>
  <si>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</si>
  <si>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</si>
  <si>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</si>
  <si>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</si>
  <si>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</si>
  <si>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</si>
  <si>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</si>
  <si>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</si>
  <si>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</si>
  <si>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</si>
  <si>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</si>
  <si>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</si>
  <si>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</si>
  <si>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</si>
  <si>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</si>
  <si>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</si>
  <si>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</si>
  <si>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</si>
  <si>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</si>
  <si>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</si>
  <si>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</si>
  <si>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</si>
  <si>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</si>
  <si>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</si>
  <si>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</si>
  <si>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</si>
  <si>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</si>
  <si>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</si>
  <si>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</si>
  <si>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</si>
  <si>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</si>
  <si>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</si>
  <si>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</si>
  <si>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</si>
  <si>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</si>
  <si>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</si>
  <si>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</si>
  <si>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</si>
  <si>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</si>
  <si>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</si>
  <si>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</si>
  <si>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</si>
  <si>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</si>
  <si>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</si>
  <si>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</si>
  <si>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</si>
  <si>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</si>
  <si>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</si>
  <si>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</si>
  <si>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</si>
  <si>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</si>
  <si>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</si>
  <si>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</si>
  <si>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</si>
  <si>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</si>
  <si>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</si>
  <si>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</si>
  <si>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</si>
  <si>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</si>
  <si>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</si>
  <si>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</si>
  <si>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</si>
  <si>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</si>
  <si>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</si>
  <si>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</si>
  <si>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</si>
  <si>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</si>
  <si>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</si>
  <si>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</si>
  <si>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</si>
  <si>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</si>
  <si>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</si>
  <si>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</si>
  <si>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</si>
  <si>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</si>
  <si>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</si>
  <si>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</si>
  <si>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</si>
  <si>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</si>
  <si>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</si>
  <si>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</si>
  <si>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</si>
  <si>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</si>
  <si>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</si>
  <si>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</si>
  <si>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</si>
  <si>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</si>
  <si>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</si>
  <si>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</si>
  <si>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</si>
  <si>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</si>
  <si>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</si>
  <si>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</si>
  <si>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</si>
  <si>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</si>
  <si>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</si>
  <si>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</si>
  <si>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</si>
  <si>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</si>
  <si>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</si>
  <si>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</si>
  <si>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</si>
  <si>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</si>
  <si>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</si>
  <si>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</si>
  <si>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</si>
  <si>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</si>
  <si>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</si>
  <si>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</si>
  <si>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</si>
  <si>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</si>
  <si>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</si>
  <si>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</si>
  <si>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</si>
  <si>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</si>
  <si>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</si>
  <si>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</si>
  <si>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</si>
  <si>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</si>
  <si>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</si>
  <si>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</si>
  <si>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</si>
  <si>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</si>
  <si>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</si>
  <si>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</si>
  <si>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</si>
  <si>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</si>
  <si>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</si>
  <si>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13036</t>
  </si>
  <si>
    <t>RETIE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</si>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</sst>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105705.610707926</c:v>
                </c:pt>
                <c:pt idx="1">
                  <c:v>20465.758441871541</c:v>
                </c:pt>
                <c:pt idx="2">
                  <c:v>550.77499999999998</c:v>
                </c:pt>
                <c:pt idx="3">
                  <c:v>8127.1941348100299</c:v>
                </c:pt>
                <c:pt idx="4">
                  <c:v>6428.7890118522564</c:v>
                </c:pt>
                <c:pt idx="5">
                  <c:v>119742.71897385542</c:v>
                </c:pt>
                <c:pt idx="6">
                  <c:v>690.66358903758135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105705.610707926</c:v>
                </c:pt>
                <c:pt idx="1">
                  <c:v>20465.758441871541</c:v>
                </c:pt>
                <c:pt idx="2">
                  <c:v>550.77499999999998</c:v>
                </c:pt>
                <c:pt idx="3">
                  <c:v>8127.1941348100299</c:v>
                </c:pt>
                <c:pt idx="4">
                  <c:v>6428.7890118522564</c:v>
                </c:pt>
                <c:pt idx="5">
                  <c:v>119742.71897385542</c:v>
                </c:pt>
                <c:pt idx="6">
                  <c:v>690.66358903758135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17971.09667552726</c:v>
                </c:pt>
                <c:pt idx="2">
                  <c:v>3945.1730204727251</c:v>
                </c:pt>
                <c:pt idx="3">
                  <c:v>105.83551287474181</c:v>
                </c:pt>
                <c:pt idx="4">
                  <c:v>2020.8609305330972</c:v>
                </c:pt>
                <c:pt idx="5">
                  <c:v>1334.4568993766215</c:v>
                </c:pt>
                <c:pt idx="6">
                  <c:v>30041.199603476533</c:v>
                </c:pt>
                <c:pt idx="7">
                  <c:v>174.4368962200532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17971.09667552726</c:v>
                </c:pt>
                <c:pt idx="2">
                  <c:v>3945.1730204727251</c:v>
                </c:pt>
                <c:pt idx="3">
                  <c:v>105.83551287474181</c:v>
                </c:pt>
                <c:pt idx="4">
                  <c:v>2020.8609305330972</c:v>
                </c:pt>
                <c:pt idx="5">
                  <c:v>1334.4568993766215</c:v>
                </c:pt>
                <c:pt idx="6">
                  <c:v>30041.199603476533</c:v>
                </c:pt>
                <c:pt idx="7">
                  <c:v>174.4368962200532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13036</v>
      </c>
      <c r="B6" s="391"/>
      <c r="C6" s="392"/>
    </row>
    <row r="7" spans="1:7" s="389" customFormat="1" ht="15.75" customHeight="1">
      <c r="A7" s="393" t="str">
        <f>txtMunicipality</f>
        <v>RETIE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0.19215743792790488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0.19215743792790488</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4354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2766</v>
      </c>
      <c r="C14" s="330"/>
      <c r="D14" s="330"/>
      <c r="E14" s="330"/>
      <c r="F14" s="330"/>
    </row>
    <row r="15" spans="1:6">
      <c r="A15" s="1305" t="s">
        <v>183</v>
      </c>
      <c r="B15" s="1306">
        <v>11941</v>
      </c>
      <c r="C15" s="330"/>
      <c r="D15" s="330"/>
      <c r="E15" s="330"/>
      <c r="F15" s="330"/>
    </row>
    <row r="16" spans="1:6">
      <c r="A16" s="1305" t="s">
        <v>6</v>
      </c>
      <c r="B16" s="1306">
        <v>1753</v>
      </c>
      <c r="C16" s="330"/>
      <c r="D16" s="330"/>
      <c r="E16" s="330"/>
      <c r="F16" s="330"/>
    </row>
    <row r="17" spans="1:6">
      <c r="A17" s="1305" t="s">
        <v>7</v>
      </c>
      <c r="B17" s="1306">
        <v>323</v>
      </c>
      <c r="C17" s="330"/>
      <c r="D17" s="330"/>
      <c r="E17" s="330"/>
      <c r="F17" s="330"/>
    </row>
    <row r="18" spans="1:6">
      <c r="A18" s="1305" t="s">
        <v>8</v>
      </c>
      <c r="B18" s="1306">
        <v>982</v>
      </c>
      <c r="C18" s="330"/>
      <c r="D18" s="330"/>
      <c r="E18" s="330"/>
      <c r="F18" s="330"/>
    </row>
    <row r="19" spans="1:6">
      <c r="A19" s="1305" t="s">
        <v>9</v>
      </c>
      <c r="B19" s="1306">
        <v>910</v>
      </c>
      <c r="C19" s="330"/>
      <c r="D19" s="330"/>
      <c r="E19" s="330"/>
      <c r="F19" s="330"/>
    </row>
    <row r="20" spans="1:6">
      <c r="A20" s="1305" t="s">
        <v>10</v>
      </c>
      <c r="B20" s="1306">
        <v>416</v>
      </c>
      <c r="C20" s="330"/>
      <c r="D20" s="330"/>
      <c r="E20" s="330"/>
      <c r="F20" s="330"/>
    </row>
    <row r="21" spans="1:6">
      <c r="A21" s="1305" t="s">
        <v>11</v>
      </c>
      <c r="B21" s="1306">
        <v>6462</v>
      </c>
      <c r="C21" s="330"/>
      <c r="D21" s="330"/>
      <c r="E21" s="330"/>
      <c r="F21" s="330"/>
    </row>
    <row r="22" spans="1:6">
      <c r="A22" s="1305" t="s">
        <v>12</v>
      </c>
      <c r="B22" s="1306">
        <v>14300</v>
      </c>
      <c r="C22" s="330"/>
      <c r="D22" s="330"/>
      <c r="E22" s="330"/>
      <c r="F22" s="330"/>
    </row>
    <row r="23" spans="1:6">
      <c r="A23" s="1305" t="s">
        <v>13</v>
      </c>
      <c r="B23" s="1306">
        <v>343</v>
      </c>
      <c r="C23" s="330"/>
      <c r="D23" s="330"/>
      <c r="E23" s="330"/>
      <c r="F23" s="330"/>
    </row>
    <row r="24" spans="1:6">
      <c r="A24" s="1305" t="s">
        <v>14</v>
      </c>
      <c r="B24" s="1306">
        <v>16</v>
      </c>
      <c r="C24" s="330"/>
      <c r="D24" s="330"/>
      <c r="E24" s="330"/>
      <c r="F24" s="330"/>
    </row>
    <row r="25" spans="1:6">
      <c r="A25" s="1305" t="s">
        <v>15</v>
      </c>
      <c r="B25" s="1306">
        <v>1683</v>
      </c>
      <c r="C25" s="330"/>
      <c r="D25" s="330"/>
      <c r="E25" s="330"/>
      <c r="F25" s="330"/>
    </row>
    <row r="26" spans="1:6">
      <c r="A26" s="1305" t="s">
        <v>16</v>
      </c>
      <c r="B26" s="1306">
        <v>451</v>
      </c>
      <c r="C26" s="330"/>
      <c r="D26" s="330"/>
      <c r="E26" s="330"/>
      <c r="F26" s="330"/>
    </row>
    <row r="27" spans="1:6">
      <c r="A27" s="1305" t="s">
        <v>17</v>
      </c>
      <c r="B27" s="1306">
        <v>1425</v>
      </c>
      <c r="C27" s="330"/>
      <c r="D27" s="330"/>
      <c r="E27" s="330"/>
      <c r="F27" s="330"/>
    </row>
    <row r="28" spans="1:6" s="43" customFormat="1">
      <c r="A28" s="1307" t="s">
        <v>18</v>
      </c>
      <c r="B28" s="1308">
        <v>58272</v>
      </c>
      <c r="C28" s="336"/>
      <c r="D28" s="336"/>
      <c r="E28" s="336"/>
      <c r="F28" s="336"/>
    </row>
    <row r="29" spans="1:6">
      <c r="A29" s="1307" t="s">
        <v>909</v>
      </c>
      <c r="B29" s="1308">
        <v>110</v>
      </c>
      <c r="C29" s="336"/>
      <c r="D29" s="336"/>
      <c r="E29" s="336"/>
      <c r="F29" s="336"/>
    </row>
    <row r="30" spans="1:6">
      <c r="A30" s="1300" t="s">
        <v>910</v>
      </c>
      <c r="B30" s="1309">
        <v>44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10856.09</v>
      </c>
    </row>
    <row r="39" spans="1:6">
      <c r="A39" s="1305" t="s">
        <v>29</v>
      </c>
      <c r="B39" s="1305" t="s">
        <v>30</v>
      </c>
      <c r="C39" s="1306">
        <v>2634</v>
      </c>
      <c r="D39" s="1306">
        <v>43584982.072284102</v>
      </c>
      <c r="E39" s="1306">
        <v>4288</v>
      </c>
      <c r="F39" s="1306">
        <v>16169761</v>
      </c>
    </row>
    <row r="40" spans="1:6">
      <c r="A40" s="1305" t="s">
        <v>29</v>
      </c>
      <c r="B40" s="1305" t="s">
        <v>28</v>
      </c>
      <c r="C40" s="1306">
        <v>0</v>
      </c>
      <c r="D40" s="1306">
        <v>0</v>
      </c>
      <c r="E40" s="1306">
        <v>0</v>
      </c>
      <c r="F40" s="1306">
        <v>0</v>
      </c>
    </row>
    <row r="41" spans="1:6">
      <c r="A41" s="1305" t="s">
        <v>31</v>
      </c>
      <c r="B41" s="1305" t="s">
        <v>32</v>
      </c>
      <c r="C41" s="1306">
        <v>25</v>
      </c>
      <c r="D41" s="1306">
        <v>730672.97607034701</v>
      </c>
      <c r="E41" s="1306">
        <v>77</v>
      </c>
      <c r="F41" s="1306">
        <v>1115981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36712</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20</v>
      </c>
      <c r="D48" s="1306">
        <v>606690.38406387798</v>
      </c>
      <c r="E48" s="1306">
        <v>18</v>
      </c>
      <c r="F48" s="1306">
        <v>918159.4</v>
      </c>
    </row>
    <row r="49" spans="1:6">
      <c r="A49" s="1305" t="s">
        <v>31</v>
      </c>
      <c r="B49" s="1305" t="s">
        <v>39</v>
      </c>
      <c r="C49" s="1306">
        <v>0</v>
      </c>
      <c r="D49" s="1306">
        <v>0</v>
      </c>
      <c r="E49" s="1306">
        <v>0</v>
      </c>
      <c r="F49" s="1306">
        <v>0</v>
      </c>
    </row>
    <row r="50" spans="1:6">
      <c r="A50" s="1305" t="s">
        <v>31</v>
      </c>
      <c r="B50" s="1305" t="s">
        <v>40</v>
      </c>
      <c r="C50" s="1306">
        <v>5</v>
      </c>
      <c r="D50" s="1306">
        <v>353233.45498287998</v>
      </c>
      <c r="E50" s="1306">
        <v>6</v>
      </c>
      <c r="F50" s="1306">
        <v>357502.4</v>
      </c>
    </row>
    <row r="51" spans="1:6">
      <c r="A51" s="1305" t="s">
        <v>41</v>
      </c>
      <c r="B51" s="1305" t="s">
        <v>42</v>
      </c>
      <c r="C51" s="1306">
        <v>3</v>
      </c>
      <c r="D51" s="1306">
        <v>98185.143569947293</v>
      </c>
      <c r="E51" s="1306">
        <v>95</v>
      </c>
      <c r="F51" s="1306">
        <v>1967528</v>
      </c>
    </row>
    <row r="52" spans="1:6">
      <c r="A52" s="1305" t="s">
        <v>41</v>
      </c>
      <c r="B52" s="1305" t="s">
        <v>28</v>
      </c>
      <c r="C52" s="1306">
        <v>8</v>
      </c>
      <c r="D52" s="1306">
        <v>204500.353694872</v>
      </c>
      <c r="E52" s="1306">
        <v>12</v>
      </c>
      <c r="F52" s="1306">
        <v>155356.5</v>
      </c>
    </row>
    <row r="53" spans="1:6">
      <c r="A53" s="1305" t="s">
        <v>43</v>
      </c>
      <c r="B53" s="1305" t="s">
        <v>44</v>
      </c>
      <c r="C53" s="1306">
        <v>59</v>
      </c>
      <c r="D53" s="1306">
        <v>1116137.18157399</v>
      </c>
      <c r="E53" s="1306">
        <v>203</v>
      </c>
      <c r="F53" s="1306">
        <v>762515.4</v>
      </c>
    </row>
    <row r="54" spans="1:6">
      <c r="A54" s="1305" t="s">
        <v>45</v>
      </c>
      <c r="B54" s="1305" t="s">
        <v>46</v>
      </c>
      <c r="C54" s="1306">
        <v>0</v>
      </c>
      <c r="D54" s="1306">
        <v>0</v>
      </c>
      <c r="E54" s="1306">
        <v>1</v>
      </c>
      <c r="F54" s="1306">
        <v>550775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23</v>
      </c>
      <c r="D57" s="1306">
        <v>1819080.06996794</v>
      </c>
      <c r="E57" s="1306">
        <v>35</v>
      </c>
      <c r="F57" s="1306">
        <v>1103983</v>
      </c>
    </row>
    <row r="58" spans="1:6">
      <c r="A58" s="1305" t="s">
        <v>48</v>
      </c>
      <c r="B58" s="1305" t="s">
        <v>50</v>
      </c>
      <c r="C58" s="1306">
        <v>13</v>
      </c>
      <c r="D58" s="1306">
        <v>450376.527055018</v>
      </c>
      <c r="E58" s="1306">
        <v>22</v>
      </c>
      <c r="F58" s="1306">
        <v>175374.9</v>
      </c>
    </row>
    <row r="59" spans="1:6">
      <c r="A59" s="1305" t="s">
        <v>48</v>
      </c>
      <c r="B59" s="1305" t="s">
        <v>51</v>
      </c>
      <c r="C59" s="1306">
        <v>27</v>
      </c>
      <c r="D59" s="1306">
        <v>1135560.7707165999</v>
      </c>
      <c r="E59" s="1306">
        <v>94</v>
      </c>
      <c r="F59" s="1306">
        <v>2544142</v>
      </c>
    </row>
    <row r="60" spans="1:6">
      <c r="A60" s="1305" t="s">
        <v>48</v>
      </c>
      <c r="B60" s="1305" t="s">
        <v>52</v>
      </c>
      <c r="C60" s="1306">
        <v>40</v>
      </c>
      <c r="D60" s="1306">
        <v>1436859.4695027301</v>
      </c>
      <c r="E60" s="1306">
        <v>55</v>
      </c>
      <c r="F60" s="1306">
        <v>1745711</v>
      </c>
    </row>
    <row r="61" spans="1:6">
      <c r="A61" s="1305" t="s">
        <v>48</v>
      </c>
      <c r="B61" s="1305" t="s">
        <v>53</v>
      </c>
      <c r="C61" s="1306">
        <v>75</v>
      </c>
      <c r="D61" s="1306">
        <v>1715156.96372207</v>
      </c>
      <c r="E61" s="1306">
        <v>111</v>
      </c>
      <c r="F61" s="1306">
        <v>1099079</v>
      </c>
    </row>
    <row r="62" spans="1:6">
      <c r="A62" s="1305" t="s">
        <v>48</v>
      </c>
      <c r="B62" s="1305" t="s">
        <v>54</v>
      </c>
      <c r="C62" s="1306">
        <v>5</v>
      </c>
      <c r="D62" s="1306">
        <v>424448.47433779301</v>
      </c>
      <c r="E62" s="1306">
        <v>8</v>
      </c>
      <c r="F62" s="1306">
        <v>117856.5</v>
      </c>
    </row>
    <row r="63" spans="1:6">
      <c r="A63" s="1305" t="s">
        <v>48</v>
      </c>
      <c r="B63" s="1305" t="s">
        <v>28</v>
      </c>
      <c r="C63" s="1306">
        <v>90</v>
      </c>
      <c r="D63" s="1306">
        <v>3851507.5396140902</v>
      </c>
      <c r="E63" s="1306">
        <v>91</v>
      </c>
      <c r="F63" s="1306">
        <v>1463427</v>
      </c>
    </row>
    <row r="64" spans="1:6">
      <c r="A64" s="1305" t="s">
        <v>55</v>
      </c>
      <c r="B64" s="1305" t="s">
        <v>56</v>
      </c>
      <c r="C64" s="1306">
        <v>0</v>
      </c>
      <c r="D64" s="1306">
        <v>0</v>
      </c>
      <c r="E64" s="1306">
        <v>0</v>
      </c>
      <c r="F64" s="1306">
        <v>0</v>
      </c>
    </row>
    <row r="65" spans="1:6">
      <c r="A65" s="1305" t="s">
        <v>55</v>
      </c>
      <c r="B65" s="1305" t="s">
        <v>28</v>
      </c>
      <c r="C65" s="1306">
        <v>1</v>
      </c>
      <c r="D65" s="1306">
        <v>6949.0476214857999</v>
      </c>
      <c r="E65" s="1306">
        <v>1</v>
      </c>
      <c r="F65" s="1306">
        <v>7655.384</v>
      </c>
    </row>
    <row r="66" spans="1:6">
      <c r="A66" s="1305" t="s">
        <v>55</v>
      </c>
      <c r="B66" s="1305" t="s">
        <v>57</v>
      </c>
      <c r="C66" s="1306">
        <v>0</v>
      </c>
      <c r="D66" s="1306">
        <v>0</v>
      </c>
      <c r="E66" s="1306">
        <v>10</v>
      </c>
      <c r="F66" s="1306">
        <v>150903.5</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47906.47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77301700</v>
      </c>
      <c r="E73" s="450"/>
      <c r="F73" s="330"/>
    </row>
    <row r="74" spans="1:6">
      <c r="A74" s="1305" t="s">
        <v>63</v>
      </c>
      <c r="B74" s="1305" t="s">
        <v>710</v>
      </c>
      <c r="C74" s="1319" t="s">
        <v>712</v>
      </c>
      <c r="D74" s="1320">
        <v>6203709.3189267544</v>
      </c>
      <c r="E74" s="450"/>
      <c r="F74" s="330"/>
    </row>
    <row r="75" spans="1:6">
      <c r="A75" s="1305" t="s">
        <v>64</v>
      </c>
      <c r="B75" s="1305" t="s">
        <v>709</v>
      </c>
      <c r="C75" s="1319" t="s">
        <v>713</v>
      </c>
      <c r="D75" s="1320">
        <v>14335945</v>
      </c>
      <c r="E75" s="450"/>
      <c r="F75" s="330"/>
    </row>
    <row r="76" spans="1:6">
      <c r="A76" s="1305" t="s">
        <v>64</v>
      </c>
      <c r="B76" s="1305" t="s">
        <v>710</v>
      </c>
      <c r="C76" s="1319" t="s">
        <v>714</v>
      </c>
      <c r="D76" s="1320">
        <v>499340.31892675476</v>
      </c>
      <c r="E76" s="450"/>
      <c r="F76" s="330"/>
    </row>
    <row r="77" spans="1:6">
      <c r="A77" s="1305" t="s">
        <v>65</v>
      </c>
      <c r="B77" s="1305" t="s">
        <v>709</v>
      </c>
      <c r="C77" s="1319" t="s">
        <v>715</v>
      </c>
      <c r="D77" s="1320">
        <v>24353065</v>
      </c>
      <c r="E77" s="450"/>
      <c r="F77" s="330"/>
    </row>
    <row r="78" spans="1:6">
      <c r="A78" s="1300" t="s">
        <v>65</v>
      </c>
      <c r="B78" s="1300" t="s">
        <v>710</v>
      </c>
      <c r="C78" s="1300" t="s">
        <v>716</v>
      </c>
      <c r="D78" s="1321">
        <v>9346122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185443.36214649049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3769.4384668686112</v>
      </c>
      <c r="C91" s="330"/>
      <c r="D91" s="330"/>
      <c r="E91" s="330"/>
      <c r="F91" s="330"/>
    </row>
    <row r="92" spans="1:6">
      <c r="A92" s="1300" t="s">
        <v>68</v>
      </c>
      <c r="B92" s="1301">
        <v>676.54798388183372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1341</v>
      </c>
      <c r="C97" s="330"/>
      <c r="D97" s="330"/>
      <c r="E97" s="330"/>
      <c r="F97" s="330"/>
    </row>
    <row r="98" spans="1:6">
      <c r="A98" s="1305" t="s">
        <v>71</v>
      </c>
      <c r="B98" s="1306">
        <v>4</v>
      </c>
      <c r="C98" s="330"/>
      <c r="D98" s="330"/>
      <c r="E98" s="330"/>
      <c r="F98" s="330"/>
    </row>
    <row r="99" spans="1:6">
      <c r="A99" s="1305" t="s">
        <v>72</v>
      </c>
      <c r="B99" s="1306">
        <v>27</v>
      </c>
      <c r="C99" s="330"/>
      <c r="D99" s="330"/>
      <c r="E99" s="330"/>
      <c r="F99" s="330"/>
    </row>
    <row r="100" spans="1:6">
      <c r="A100" s="1305" t="s">
        <v>73</v>
      </c>
      <c r="B100" s="1306">
        <v>137</v>
      </c>
      <c r="C100" s="330"/>
      <c r="D100" s="330"/>
      <c r="E100" s="330"/>
      <c r="F100" s="330"/>
    </row>
    <row r="101" spans="1:6">
      <c r="A101" s="1305" t="s">
        <v>74</v>
      </c>
      <c r="B101" s="1306">
        <v>112</v>
      </c>
      <c r="C101" s="330"/>
      <c r="D101" s="330"/>
      <c r="E101" s="330"/>
      <c r="F101" s="330"/>
    </row>
    <row r="102" spans="1:6">
      <c r="A102" s="1305" t="s">
        <v>75</v>
      </c>
      <c r="B102" s="1306">
        <v>26</v>
      </c>
      <c r="C102" s="330"/>
      <c r="D102" s="330"/>
      <c r="E102" s="330"/>
      <c r="F102" s="330"/>
    </row>
    <row r="103" spans="1:6">
      <c r="A103" s="1305" t="s">
        <v>76</v>
      </c>
      <c r="B103" s="1306">
        <v>61</v>
      </c>
      <c r="C103" s="330"/>
      <c r="D103" s="330"/>
      <c r="E103" s="330"/>
      <c r="F103" s="330"/>
    </row>
    <row r="104" spans="1:6">
      <c r="A104" s="1305" t="s">
        <v>77</v>
      </c>
      <c r="B104" s="1306">
        <v>1935</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25</v>
      </c>
      <c r="C123" s="1306">
        <v>13</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151</v>
      </c>
      <c r="C129" s="330"/>
      <c r="D129" s="330"/>
      <c r="E129" s="330"/>
      <c r="F129" s="330"/>
    </row>
    <row r="130" spans="1:6">
      <c r="A130" s="1305" t="s">
        <v>294</v>
      </c>
      <c r="B130" s="1306">
        <v>4</v>
      </c>
      <c r="C130" s="330"/>
      <c r="D130" s="330"/>
      <c r="E130" s="330"/>
      <c r="F130" s="330"/>
    </row>
    <row r="131" spans="1:6">
      <c r="A131" s="1305" t="s">
        <v>295</v>
      </c>
      <c r="B131" s="1306">
        <v>2</v>
      </c>
      <c r="C131" s="330"/>
      <c r="D131" s="330"/>
      <c r="E131" s="330"/>
      <c r="F131" s="330"/>
    </row>
    <row r="132" spans="1:6">
      <c r="A132" s="1300" t="s">
        <v>296</v>
      </c>
      <c r="B132" s="1301">
        <v>28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34066.425970058626</v>
      </c>
      <c r="C3" s="43" t="s">
        <v>169</v>
      </c>
      <c r="D3" s="43"/>
      <c r="E3" s="154"/>
      <c r="F3" s="43"/>
      <c r="G3" s="43"/>
      <c r="H3" s="43"/>
      <c r="I3" s="43"/>
      <c r="J3" s="43"/>
      <c r="K3" s="96"/>
    </row>
    <row r="4" spans="1:11">
      <c r="A4" s="359" t="s">
        <v>170</v>
      </c>
      <c r="B4" s="49">
        <f>IF(ISERROR('SEAP template'!B78+'SEAP template'!C78),0,'SEAP template'!B78+'SEAP template'!C78)</f>
        <v>4445.9864507504444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0.19215743792790488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550.77499999999998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550.77499999999998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0.19215743792790488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105.83551287474181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16169.761</v>
      </c>
      <c r="C5" s="17">
        <f>IF(ISERROR('Eigen informatie GS &amp; warmtenet'!B57),0,'Eigen informatie GS &amp; warmtenet'!B57)</f>
        <v>0</v>
      </c>
      <c r="D5" s="30">
        <f>(SUM(HH_hh_gas_kWh,HH_rest_gas_kWh)/1000)*0.902</f>
        <v>39313.653829200259</v>
      </c>
      <c r="E5" s="17">
        <f>B46*B57</f>
        <v>6994.7029536364544</v>
      </c>
      <c r="F5" s="17">
        <f>B51*B62</f>
        <v>17267.698680398549</v>
      </c>
      <c r="G5" s="18"/>
      <c r="H5" s="17"/>
      <c r="I5" s="17"/>
      <c r="J5" s="17">
        <f>B50*B61+C50*C61</f>
        <v>0</v>
      </c>
      <c r="K5" s="17"/>
      <c r="L5" s="17"/>
      <c r="M5" s="17"/>
      <c r="N5" s="17">
        <f>B48*B59+C48*C59</f>
        <v>20923.435777822098</v>
      </c>
      <c r="O5" s="17">
        <f>B69*B70*B71</f>
        <v>256.38666666666671</v>
      </c>
      <c r="P5" s="17">
        <f>B77*B78*B79/1000-B77*B78*B79/1000/B80</f>
        <v>1010.5333333333333</v>
      </c>
    </row>
    <row r="6" spans="1:16">
      <c r="A6" s="16" t="s">
        <v>630</v>
      </c>
      <c r="B6" s="763">
        <f>kWh_PV_kleiner_dan_10kW</f>
        <v>3769.4384668686112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19939.199466868613</v>
      </c>
      <c r="C8" s="21">
        <f>C5</f>
        <v>0</v>
      </c>
      <c r="D8" s="21">
        <f>D5</f>
        <v>39313.653829200259</v>
      </c>
      <c r="E8" s="21">
        <f>E5</f>
        <v>6994.7029536364544</v>
      </c>
      <c r="F8" s="21">
        <f>F5</f>
        <v>17267.698680398549</v>
      </c>
      <c r="G8" s="21"/>
      <c r="H8" s="21"/>
      <c r="I8" s="21"/>
      <c r="J8" s="21">
        <f>J5</f>
        <v>0</v>
      </c>
      <c r="K8" s="21"/>
      <c r="L8" s="21">
        <f>L5</f>
        <v>0</v>
      </c>
      <c r="M8" s="21">
        <f>M5</f>
        <v>0</v>
      </c>
      <c r="N8" s="21">
        <f>N5</f>
        <v>20923.435777822098</v>
      </c>
      <c r="O8" s="21">
        <f>O5</f>
        <v>256.38666666666671</v>
      </c>
      <c r="P8" s="21">
        <f>P5</f>
        <v>1010.5333333333333</v>
      </c>
    </row>
    <row r="9" spans="1:16">
      <c r="B9" s="19"/>
      <c r="C9" s="19"/>
      <c r="D9" s="258"/>
      <c r="E9" s="19"/>
      <c r="F9" s="19"/>
      <c r="G9" s="19"/>
      <c r="H9" s="19"/>
      <c r="I9" s="19"/>
      <c r="J9" s="19"/>
      <c r="K9" s="19"/>
      <c r="L9" s="19"/>
      <c r="M9" s="19"/>
      <c r="N9" s="19"/>
      <c r="O9" s="19"/>
      <c r="P9" s="19"/>
    </row>
    <row r="10" spans="1:16">
      <c r="A10" s="24" t="s">
        <v>213</v>
      </c>
      <c r="B10" s="25">
        <f ca="1">'EF ele_warmte'!B12</f>
        <v>0.19215743792790488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3831.4654838869196</v>
      </c>
      <c r="C12" s="23">
        <f ca="1">C10*C8</f>
        <v>0</v>
      </c>
      <c r="D12" s="23">
        <f>D8*D10</f>
        <v>7941.3580734984525</v>
      </c>
      <c r="E12" s="23">
        <f>E10*E8</f>
        <v>1587.7975704754751</v>
      </c>
      <c r="F12" s="23">
        <f>F10*F8</f>
        <v>4610.4755476664131</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1341</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9.7826086956521738</v>
      </c>
      <c r="D20" s="229"/>
      <c r="E20" s="15"/>
    </row>
    <row r="21" spans="1:7">
      <c r="A21" s="171" t="s">
        <v>73</v>
      </c>
      <c r="B21" s="37">
        <f>aantalw2001_elektriciteit</f>
        <v>137</v>
      </c>
      <c r="C21" s="167">
        <f>IF(ISERROR(B21/SUM($B$20,$B$21,$B$22)*100),0,B21/SUM($B$20,$B$21,$B$22)*100)</f>
        <v>49.637681159420289</v>
      </c>
      <c r="D21" s="229"/>
      <c r="E21" s="15"/>
    </row>
    <row r="22" spans="1:7">
      <c r="A22" s="171" t="s">
        <v>74</v>
      </c>
      <c r="B22" s="37">
        <f>aantalw2001_hout</f>
        <v>112</v>
      </c>
      <c r="C22" s="167">
        <f>IF(ISERROR(B22/SUM($B$20,$B$21,$B$22)*100),0,B22/SUM($B$20,$B$21,$B$22)*100)</f>
        <v>40.579710144927539</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1935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4354</v>
      </c>
      <c r="C28" s="36"/>
      <c r="D28" s="228"/>
    </row>
    <row r="29" spans="1:7" s="15" customFormat="1">
      <c r="A29" s="230" t="s">
        <v>737</v>
      </c>
      <c r="B29" s="37">
        <f>SUM(HH_hh_gas_aantal,HH_rest_gas_aantal)</f>
        <v>2634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2634</v>
      </c>
      <c r="C32" s="167">
        <f>IF(ISERROR(B32/SUM($B$32,$B$34,$B$35,$B$36,$B$38,$B$39)*100),0,B32/SUM($B$32,$B$34,$B$35,$B$36,$B$38,$B$39)*100)</f>
        <v>61.241571727505232</v>
      </c>
      <c r="D32" s="233"/>
      <c r="G32" s="15"/>
    </row>
    <row r="33" spans="1:7">
      <c r="A33" s="171" t="s">
        <v>71</v>
      </c>
      <c r="B33" s="34" t="s">
        <v>110</v>
      </c>
      <c r="C33" s="167"/>
      <c r="D33" s="233"/>
      <c r="G33" s="15"/>
    </row>
    <row r="34" spans="1:7">
      <c r="A34" s="171" t="s">
        <v>72</v>
      </c>
      <c r="B34" s="33">
        <f>IF((($B$28-$B$32-$B$39-$B$77-$B$38)*C20/100)&lt;0,0,($B$28-$B$32-$B$39-$B$77-$B$38)*C20/100)</f>
        <v>87.622826086956522</v>
      </c>
      <c r="C34" s="167">
        <f>IF(ISERROR(B34/SUM($B$32,$B$34,$B$35,$B$36,$B$38,$B$39)*100),0,B34/SUM($B$32,$B$34,$B$35,$B$36,$B$38,$B$39)*100)</f>
        <v>2.037266358683016</v>
      </c>
      <c r="D34" s="233"/>
      <c r="G34" s="15"/>
    </row>
    <row r="35" spans="1:7">
      <c r="A35" s="171" t="s">
        <v>73</v>
      </c>
      <c r="B35" s="33">
        <f>IF((($B$28-$B$32-$B$39-$B$77-$B$38)*C21/100)&lt;0,0,($B$28-$B$32-$B$39-$B$77-$B$38)*C21/100)</f>
        <v>444.60471014492754</v>
      </c>
      <c r="C35" s="167">
        <f>IF(ISERROR(B35/SUM($B$32,$B$34,$B$35,$B$36,$B$38,$B$39)*100),0,B35/SUM($B$32,$B$34,$B$35,$B$36,$B$38,$B$39)*100)</f>
        <v>10.337240412576785</v>
      </c>
      <c r="D35" s="233"/>
      <c r="G35" s="15"/>
    </row>
    <row r="36" spans="1:7">
      <c r="A36" s="171" t="s">
        <v>74</v>
      </c>
      <c r="B36" s="33">
        <f>IF((($B$28-$B$32-$B$39-$B$77-$B$38)*C22/100)&lt;0,0,($B$28-$B$32-$B$39-$B$77-$B$38)*C22/100)</f>
        <v>363.47246376811597</v>
      </c>
      <c r="C36" s="167">
        <f>IF(ISERROR(B36/SUM($B$32,$B$34,$B$35,$B$36,$B$38,$B$39)*100),0,B36/SUM($B$32,$B$34,$B$35,$B$36,$B$38,$B$39)*100)</f>
        <v>8.4508826730554745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771.3</v>
      </c>
      <c r="C39" s="167">
        <f>IF(ISERROR(B39/SUM($B$32,$B$34,$B$35,$B$36,$B$38,$B$39)*100),0,B39/SUM($B$32,$B$34,$B$35,$B$36,$B$38,$B$39)*100)</f>
        <v>17.933038828179491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2634</v>
      </c>
      <c r="C44" s="34" t="s">
        <v>110</v>
      </c>
      <c r="D44" s="174"/>
    </row>
    <row r="45" spans="1:7">
      <c r="A45" s="171" t="s">
        <v>71</v>
      </c>
      <c r="B45" s="33" t="str">
        <f t="shared" si="0"/>
        <v>-</v>
      </c>
      <c r="C45" s="34" t="s">
        <v>110</v>
      </c>
      <c r="D45" s="174"/>
    </row>
    <row r="46" spans="1:7">
      <c r="A46" s="171" t="s">
        <v>72</v>
      </c>
      <c r="B46" s="33">
        <f t="shared" si="0"/>
        <v>87.622826086956522</v>
      </c>
      <c r="C46" s="34" t="s">
        <v>110</v>
      </c>
      <c r="D46" s="174"/>
    </row>
    <row r="47" spans="1:7">
      <c r="A47" s="171" t="s">
        <v>73</v>
      </c>
      <c r="B47" s="33">
        <f t="shared" si="0"/>
        <v>444.60471014492754</v>
      </c>
      <c r="C47" s="34" t="s">
        <v>110</v>
      </c>
      <c r="D47" s="174"/>
    </row>
    <row r="48" spans="1:7">
      <c r="A48" s="171" t="s">
        <v>74</v>
      </c>
      <c r="B48" s="33">
        <f t="shared" si="0"/>
        <v>363.47246376811597</v>
      </c>
      <c r="C48" s="33">
        <f>B48*10</f>
        <v>3634.7246376811599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771.3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8249.5733999999993</v>
      </c>
      <c r="C5" s="17">
        <f>IF(ISERROR('Eigen informatie GS &amp; warmtenet'!B58),0,'Eigen informatie GS &amp; warmtenet'!B58)</f>
        <v>0</v>
      </c>
      <c r="D5" s="30">
        <f>SUM(D6:D12)</f>
        <v>9771.35681305445</v>
      </c>
      <c r="E5" s="17">
        <f>SUM(E6:E12)</f>
        <v>121.0260175764825</v>
      </c>
      <c r="F5" s="17">
        <f>SUM(F6:F12)</f>
        <v>1343.3301487028843</v>
      </c>
      <c r="G5" s="18"/>
      <c r="H5" s="17"/>
      <c r="I5" s="17"/>
      <c r="J5" s="17">
        <f>SUM(J6:J12)</f>
        <v>0</v>
      </c>
      <c r="K5" s="17"/>
      <c r="L5" s="17"/>
      <c r="M5" s="17"/>
      <c r="N5" s="17">
        <f>SUM(N6:N12)</f>
        <v>936.08539587105622</v>
      </c>
      <c r="O5" s="17">
        <f>B38*B39*B40</f>
        <v>6.2533333333333339</v>
      </c>
      <c r="P5" s="17">
        <f>B46*B47*B48/1000-B46*B47*B48/1000/B49</f>
        <v>38.133333333333333</v>
      </c>
      <c r="R5" s="32"/>
    </row>
    <row r="6" spans="1:18">
      <c r="A6" s="32" t="s">
        <v>53</v>
      </c>
      <c r="B6" s="37">
        <f>B26</f>
        <v>1099.079</v>
      </c>
      <c r="C6" s="33"/>
      <c r="D6" s="37">
        <f>IF(ISERROR(TER_kantoor_gas_kWh/1000),0,TER_kantoor_gas_kWh/1000)*0.902</f>
        <v>1547.0715812773071</v>
      </c>
      <c r="E6" s="33">
        <f>$C$26*'E Balans VL '!I12/100/3.6*1000000</f>
        <v>3.1841931207544563</v>
      </c>
      <c r="F6" s="33">
        <f>$C$26*('E Balans VL '!L12+'E Balans VL '!N12)/100/3.6*1000000</f>
        <v>124.39152821221624</v>
      </c>
      <c r="G6" s="34"/>
      <c r="H6" s="33"/>
      <c r="I6" s="33"/>
      <c r="J6" s="33">
        <f>$C$26*('E Balans VL '!D12+'E Balans VL '!E12)/100/3.6*1000000</f>
        <v>0</v>
      </c>
      <c r="K6" s="33"/>
      <c r="L6" s="33"/>
      <c r="M6" s="33"/>
      <c r="N6" s="33">
        <f>$C$26*'E Balans VL '!Y12/100/3.6*1000000</f>
        <v>11.000970952434551</v>
      </c>
      <c r="O6" s="33"/>
      <c r="P6" s="33"/>
      <c r="R6" s="32"/>
    </row>
    <row r="7" spans="1:18">
      <c r="A7" s="32" t="s">
        <v>52</v>
      </c>
      <c r="B7" s="37">
        <f t="shared" ref="B7:B12" si="0">B27</f>
        <v>1745.711</v>
      </c>
      <c r="C7" s="33"/>
      <c r="D7" s="37">
        <f>IF(ISERROR(TER_horeca_gas_kWh/1000),0,TER_horeca_gas_kWh/1000)*0.902</f>
        <v>1296.0472414914625</v>
      </c>
      <c r="E7" s="33">
        <f>$C$27*'E Balans VL '!I9/100/3.6*1000000</f>
        <v>73.28007035986252</v>
      </c>
      <c r="F7" s="33">
        <f>$C$27*('E Balans VL '!L9+'E Balans VL '!N9)/100/3.6*1000000</f>
        <v>375.10180752572688</v>
      </c>
      <c r="G7" s="34"/>
      <c r="H7" s="33"/>
      <c r="I7" s="33"/>
      <c r="J7" s="33">
        <f>$C$27*('E Balans VL '!D9+'E Balans VL '!E9)/100/3.6*1000000</f>
        <v>0</v>
      </c>
      <c r="K7" s="33"/>
      <c r="L7" s="33"/>
      <c r="M7" s="33"/>
      <c r="N7" s="33">
        <f>$C$27*'E Balans VL '!Y9/100/3.6*1000000</f>
        <v>0.44985445790346673</v>
      </c>
      <c r="O7" s="33"/>
      <c r="P7" s="33"/>
      <c r="R7" s="32"/>
    </row>
    <row r="8" spans="1:18">
      <c r="A8" s="6" t="s">
        <v>51</v>
      </c>
      <c r="B8" s="37">
        <f t="shared" si="0"/>
        <v>2544.1419999999998</v>
      </c>
      <c r="C8" s="33"/>
      <c r="D8" s="37">
        <f>IF(ISERROR(TER_handel_gas_kWh/1000),0,TER_handel_gas_kWh/1000)*0.902</f>
        <v>1024.2758151863729</v>
      </c>
      <c r="E8" s="33">
        <f>$C$28*'E Balans VL '!I13/100/3.6*1000000</f>
        <v>27.326202509195308</v>
      </c>
      <c r="F8" s="33">
        <f>$C$28*('E Balans VL '!L13+'E Balans VL '!N13)/100/3.6*1000000</f>
        <v>329.36019099153799</v>
      </c>
      <c r="G8" s="34"/>
      <c r="H8" s="33"/>
      <c r="I8" s="33"/>
      <c r="J8" s="33">
        <f>$C$28*('E Balans VL '!D13+'E Balans VL '!E13)/100/3.6*1000000</f>
        <v>0</v>
      </c>
      <c r="K8" s="33"/>
      <c r="L8" s="33"/>
      <c r="M8" s="33"/>
      <c r="N8" s="33">
        <f>$C$28*'E Balans VL '!Y13/100/3.6*1000000</f>
        <v>20.638218820193213</v>
      </c>
      <c r="O8" s="33"/>
      <c r="P8" s="33"/>
      <c r="R8" s="32"/>
    </row>
    <row r="9" spans="1:18">
      <c r="A9" s="32" t="s">
        <v>50</v>
      </c>
      <c r="B9" s="37">
        <f t="shared" si="0"/>
        <v>175.3749</v>
      </c>
      <c r="C9" s="33"/>
      <c r="D9" s="37">
        <f>IF(ISERROR(TER_gezond_gas_kWh/1000),0,TER_gezond_gas_kWh/1000)*0.902</f>
        <v>406.23962740362629</v>
      </c>
      <c r="E9" s="33">
        <f>$C$29*'E Balans VL '!I10/100/3.6*1000000</f>
        <v>0.13960976334464553</v>
      </c>
      <c r="F9" s="33">
        <f>$C$29*('E Balans VL '!L10+'E Balans VL '!N10)/100/3.6*1000000</f>
        <v>21.31935349057904</v>
      </c>
      <c r="G9" s="34"/>
      <c r="H9" s="33"/>
      <c r="I9" s="33"/>
      <c r="J9" s="33">
        <f>$C$29*('E Balans VL '!D10+'E Balans VL '!E10)/100/3.6*1000000</f>
        <v>0</v>
      </c>
      <c r="K9" s="33"/>
      <c r="L9" s="33"/>
      <c r="M9" s="33"/>
      <c r="N9" s="33">
        <f>$C$29*'E Balans VL '!Y10/100/3.6*1000000</f>
        <v>1.4166319796730051</v>
      </c>
      <c r="O9" s="33"/>
      <c r="P9" s="33"/>
      <c r="R9" s="32"/>
    </row>
    <row r="10" spans="1:18">
      <c r="A10" s="32" t="s">
        <v>49</v>
      </c>
      <c r="B10" s="37">
        <f t="shared" si="0"/>
        <v>1103.9829999999999</v>
      </c>
      <c r="C10" s="33"/>
      <c r="D10" s="37">
        <f>IF(ISERROR(TER_ander_gas_kWh/1000),0,TER_ander_gas_kWh/1000)*0.902</f>
        <v>1640.810223111082</v>
      </c>
      <c r="E10" s="33">
        <f>$C$30*'E Balans VL '!I14/100/3.6*1000000</f>
        <v>3.7834077368325691</v>
      </c>
      <c r="F10" s="33">
        <f>$C$30*('E Balans VL '!L14+'E Balans VL '!N14)/100/3.6*1000000</f>
        <v>246.58494161529995</v>
      </c>
      <c r="G10" s="34"/>
      <c r="H10" s="33"/>
      <c r="I10" s="33"/>
      <c r="J10" s="33">
        <f>$C$30*('E Balans VL '!D14+'E Balans VL '!E14)/100/3.6*1000000</f>
        <v>0</v>
      </c>
      <c r="K10" s="33"/>
      <c r="L10" s="33"/>
      <c r="M10" s="33"/>
      <c r="N10" s="33">
        <f>$C$30*'E Balans VL '!Y14/100/3.6*1000000</f>
        <v>777.65165614124055</v>
      </c>
      <c r="O10" s="33"/>
      <c r="P10" s="33"/>
      <c r="R10" s="32"/>
    </row>
    <row r="11" spans="1:18">
      <c r="A11" s="32" t="s">
        <v>54</v>
      </c>
      <c r="B11" s="37">
        <f t="shared" si="0"/>
        <v>117.8565</v>
      </c>
      <c r="C11" s="33"/>
      <c r="D11" s="37">
        <f>IF(ISERROR(TER_onderwijs_gas_kWh/1000),0,TER_onderwijs_gas_kWh/1000)*0.902</f>
        <v>382.85252385268933</v>
      </c>
      <c r="E11" s="33">
        <f>$C$31*'E Balans VL '!I11/100/3.6*1000000</f>
        <v>8.1470568755461464E-2</v>
      </c>
      <c r="F11" s="33">
        <f>$C$31*('E Balans VL '!L11+'E Balans VL '!N11)/100/3.6*1000000</f>
        <v>30.851408200964986</v>
      </c>
      <c r="G11" s="34"/>
      <c r="H11" s="33"/>
      <c r="I11" s="33"/>
      <c r="J11" s="33">
        <f>$C$31*('E Balans VL '!D11+'E Balans VL '!E11)/100/3.6*1000000</f>
        <v>0</v>
      </c>
      <c r="K11" s="33"/>
      <c r="L11" s="33"/>
      <c r="M11" s="33"/>
      <c r="N11" s="33">
        <f>$C$31*'E Balans VL '!Y11/100/3.6*1000000</f>
        <v>0.11731610751639515</v>
      </c>
      <c r="O11" s="33"/>
      <c r="P11" s="33"/>
      <c r="R11" s="32"/>
    </row>
    <row r="12" spans="1:18">
      <c r="A12" s="32" t="s">
        <v>259</v>
      </c>
      <c r="B12" s="37">
        <f t="shared" si="0"/>
        <v>1463.4269999999999</v>
      </c>
      <c r="C12" s="33"/>
      <c r="D12" s="37">
        <f>IF(ISERROR(TER_rest_gas_kWh/1000),0,TER_rest_gas_kWh/1000)*0.902</f>
        <v>3474.0598007319095</v>
      </c>
      <c r="E12" s="33">
        <f>$C$32*'E Balans VL '!I8/100/3.6*1000000</f>
        <v>13.231063517737518</v>
      </c>
      <c r="F12" s="33">
        <f>$C$32*('E Balans VL '!L8+'E Balans VL '!N8)/100/3.6*1000000</f>
        <v>215.72091866655927</v>
      </c>
      <c r="G12" s="34"/>
      <c r="H12" s="33"/>
      <c r="I12" s="33"/>
      <c r="J12" s="33">
        <f>$C$32*('E Balans VL '!D8+'E Balans VL '!E8)/100/3.6*1000000</f>
        <v>0</v>
      </c>
      <c r="K12" s="33"/>
      <c r="L12" s="33"/>
      <c r="M12" s="33"/>
      <c r="N12" s="33">
        <f>$C$32*'E Balans VL '!Y8/100/3.6*1000000</f>
        <v>124.81074741209501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8249.5733999999993</v>
      </c>
      <c r="C16" s="21">
        <f t="shared" ca="1" si="1"/>
        <v>0</v>
      </c>
      <c r="D16" s="21">
        <f t="shared" ca="1" si="1"/>
        <v>9771.35681305445</v>
      </c>
      <c r="E16" s="21">
        <f t="shared" si="1"/>
        <v>121.0260175764825</v>
      </c>
      <c r="F16" s="21">
        <f t="shared" ca="1" si="1"/>
        <v>1343.3301487028843</v>
      </c>
      <c r="G16" s="21">
        <f t="shared" si="1"/>
        <v>0</v>
      </c>
      <c r="H16" s="21">
        <f t="shared" si="1"/>
        <v>0</v>
      </c>
      <c r="I16" s="21">
        <f t="shared" si="1"/>
        <v>0</v>
      </c>
      <c r="J16" s="21">
        <f t="shared" si="1"/>
        <v>0</v>
      </c>
      <c r="K16" s="21">
        <f t="shared" si="1"/>
        <v>0</v>
      </c>
      <c r="L16" s="21">
        <f t="shared" ca="1" si="1"/>
        <v>0</v>
      </c>
      <c r="M16" s="21">
        <f t="shared" si="1"/>
        <v>0</v>
      </c>
      <c r="N16" s="21">
        <f t="shared" ca="1" si="1"/>
        <v>936.08539587105622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0.19215743792790488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1585.216888542195</v>
      </c>
      <c r="C20" s="23">
        <f t="shared" ref="C20:P20" ca="1" si="2">C16*C18</f>
        <v>0</v>
      </c>
      <c r="D20" s="23">
        <f t="shared" ca="1" si="2"/>
        <v>1973.814076236999</v>
      </c>
      <c r="E20" s="23">
        <f t="shared" si="2"/>
        <v>27.47290598986153</v>
      </c>
      <c r="F20" s="23">
        <f t="shared" ca="1" si="2"/>
        <v>358.66914970367014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1099.079</v>
      </c>
      <c r="C26" s="39">
        <f>IF(ISERROR(B26*3.6/1000000/'E Balans VL '!Z12*100),0,B26*3.6/1000000/'E Balans VL '!Z12*100)</f>
        <v>2.4142540897564648E-2</v>
      </c>
      <c r="D26" s="237" t="s">
        <v>691</v>
      </c>
      <c r="F26" s="6"/>
    </row>
    <row r="27" spans="1:18">
      <c r="A27" s="231" t="s">
        <v>52</v>
      </c>
      <c r="B27" s="33">
        <f>IF(ISERROR(TER_horeca_ele_kWh/1000),0,TER_horeca_ele_kWh/1000)</f>
        <v>1745.711</v>
      </c>
      <c r="C27" s="39">
        <f>IF(ISERROR(B27*3.6/1000000/'E Balans VL '!Z9*100),0,B27*3.6/1000000/'E Balans VL '!Z9*100)</f>
        <v>0.14028528030277795</v>
      </c>
      <c r="D27" s="237" t="s">
        <v>691</v>
      </c>
      <c r="F27" s="6"/>
    </row>
    <row r="28" spans="1:18">
      <c r="A28" s="171" t="s">
        <v>51</v>
      </c>
      <c r="B28" s="33">
        <f>IF(ISERROR(TER_handel_ele_kWh/1000),0,TER_handel_ele_kWh/1000)</f>
        <v>2544.1419999999998</v>
      </c>
      <c r="C28" s="39">
        <f>IF(ISERROR(B28*3.6/1000000/'E Balans VL '!Z13*100),0,B28*3.6/1000000/'E Balans VL '!Z13*100)</f>
        <v>7.5228501565080014E-2</v>
      </c>
      <c r="D28" s="237" t="s">
        <v>691</v>
      </c>
      <c r="F28" s="6"/>
    </row>
    <row r="29" spans="1:18">
      <c r="A29" s="231" t="s">
        <v>50</v>
      </c>
      <c r="B29" s="33">
        <f>IF(ISERROR(TER_gezond_ele_kWh/1000),0,TER_gezond_ele_kWh/1000)</f>
        <v>175.3749</v>
      </c>
      <c r="C29" s="39">
        <f>IF(ISERROR(B29*3.6/1000000/'E Balans VL '!Z10*100),0,B29*3.6/1000000/'E Balans VL '!Z10*100)</f>
        <v>1.9760223449206887E-2</v>
      </c>
      <c r="D29" s="237" t="s">
        <v>691</v>
      </c>
      <c r="F29" s="6"/>
    </row>
    <row r="30" spans="1:18">
      <c r="A30" s="231" t="s">
        <v>49</v>
      </c>
      <c r="B30" s="33">
        <f>IF(ISERROR(TER_ander_ele_kWh/1000),0,TER_ander_ele_kWh/1000)</f>
        <v>1103.9829999999999</v>
      </c>
      <c r="C30" s="39">
        <f>IF(ISERROR(B30*3.6/1000000/'E Balans VL '!Z14*100),0,B30*3.6/1000000/'E Balans VL '!Z14*100)</f>
        <v>8.3492347116305266E-2</v>
      </c>
      <c r="D30" s="237" t="s">
        <v>691</v>
      </c>
      <c r="F30" s="6"/>
    </row>
    <row r="31" spans="1:18">
      <c r="A31" s="231" t="s">
        <v>54</v>
      </c>
      <c r="B31" s="33">
        <f>IF(ISERROR(TER_onderwijs_ele_kWh/1000),0,TER_onderwijs_ele_kWh/1000)</f>
        <v>117.8565</v>
      </c>
      <c r="C31" s="39">
        <f>IF(ISERROR(B31*3.6/1000000/'E Balans VL '!Z11*100),0,B31*3.6/1000000/'E Balans VL '!Z11*100)</f>
        <v>2.4464273478806756E-2</v>
      </c>
      <c r="D31" s="237" t="s">
        <v>691</v>
      </c>
    </row>
    <row r="32" spans="1:18">
      <c r="A32" s="231" t="s">
        <v>259</v>
      </c>
      <c r="B32" s="33">
        <f>IF(ISERROR(TER_rest_ele_kWh/1000),0,TER_rest_ele_kWh/1000)</f>
        <v>1463.4269999999999</v>
      </c>
      <c r="C32" s="39">
        <f>IF(ISERROR(B32*3.6/1000000/'E Balans VL '!Z8*100),0,B32*3.6/1000000/'E Balans VL '!Z8*100)</f>
        <v>1.2328511570050139E-2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2428.3548000000001</v>
      </c>
      <c r="C5" s="17">
        <f>IF(ISERROR('Eigen informatie GS &amp; warmtenet'!B59),0,'Eigen informatie GS &amp; warmtenet'!B59)</f>
        <v>0</v>
      </c>
      <c r="D5" s="30">
        <f>SUM(D6:D15)</f>
        <v>1524.9183272356288</v>
      </c>
      <c r="E5" s="17">
        <f>SUM(E6:E15)</f>
        <v>358.12194034058064</v>
      </c>
      <c r="F5" s="17">
        <f>SUM(F6:F15)</f>
        <v>1775.6958159767323</v>
      </c>
      <c r="G5" s="18"/>
      <c r="H5" s="17"/>
      <c r="I5" s="17"/>
      <c r="J5" s="17">
        <f>SUM(J6:J15)</f>
        <v>12.408184192077217</v>
      </c>
      <c r="K5" s="17"/>
      <c r="L5" s="17"/>
      <c r="M5" s="17"/>
      <c r="N5" s="17">
        <f>SUM(N6:N15)</f>
        <v>329.28994410723845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36.712000000000003</v>
      </c>
      <c r="C8" s="33"/>
      <c r="D8" s="37">
        <f>IF( ISERROR(IND_metaal_Gas_kWH/1000),0,IND_metaal_Gas_kWH/1000)*0.902</f>
        <v>0</v>
      </c>
      <c r="E8" s="33">
        <f>C30*'E Balans VL '!I18/100/3.6*1000000</f>
        <v>0.91877287075270264</v>
      </c>
      <c r="F8" s="33">
        <f>C30*'E Balans VL '!L18/100/3.6*1000000+C30*'E Balans VL '!N18/100/3.6*1000000</f>
        <v>11.50572341487951</v>
      </c>
      <c r="G8" s="34"/>
      <c r="H8" s="33"/>
      <c r="I8" s="33"/>
      <c r="J8" s="40">
        <f>C30*'E Balans VL '!D18/100/3.6*1000000+C30*'E Balans VL '!E18/100/3.6*1000000</f>
        <v>0</v>
      </c>
      <c r="K8" s="33"/>
      <c r="L8" s="33"/>
      <c r="M8" s="33"/>
      <c r="N8" s="33">
        <f>C30*'E Balans VL '!Y18/100/3.6*1000000</f>
        <v>0.9223007159481269</v>
      </c>
      <c r="O8" s="33"/>
      <c r="P8" s="33"/>
      <c r="R8" s="32"/>
    </row>
    <row r="9" spans="1:18">
      <c r="A9" s="6" t="s">
        <v>32</v>
      </c>
      <c r="B9" s="37">
        <f t="shared" si="0"/>
        <v>1115.981</v>
      </c>
      <c r="C9" s="33"/>
      <c r="D9" s="37">
        <f>IF( ISERROR(IND_andere_gas_kWh/1000),0,IND_andere_gas_kWh/1000)*0.902</f>
        <v>659.06702441545303</v>
      </c>
      <c r="E9" s="33">
        <f>C31*'E Balans VL '!I19/100/3.6*1000000</f>
        <v>306.84900297724295</v>
      </c>
      <c r="F9" s="33">
        <f>C31*'E Balans VL '!L19/100/3.6*1000000+C31*'E Balans VL '!N19/100/3.6*1000000</f>
        <v>879.58722263677862</v>
      </c>
      <c r="G9" s="34"/>
      <c r="H9" s="33"/>
      <c r="I9" s="33"/>
      <c r="J9" s="40">
        <f>C31*'E Balans VL '!D19/100/3.6*1000000+C31*'E Balans VL '!E19/100/3.6*1000000</f>
        <v>0</v>
      </c>
      <c r="K9" s="33"/>
      <c r="L9" s="33"/>
      <c r="M9" s="33"/>
      <c r="N9" s="33">
        <f>C31*'E Balans VL '!Y19/100/3.6*1000000</f>
        <v>89.904132601535011</v>
      </c>
      <c r="O9" s="33"/>
      <c r="P9" s="33"/>
      <c r="R9" s="32"/>
    </row>
    <row r="10" spans="1:18">
      <c r="A10" s="6" t="s">
        <v>40</v>
      </c>
      <c r="B10" s="37">
        <f t="shared" si="0"/>
        <v>357.50240000000002</v>
      </c>
      <c r="C10" s="33"/>
      <c r="D10" s="37">
        <f>IF( ISERROR(IND_voed_gas_kWh/1000),0,IND_voed_gas_kWh/1000)*0.902</f>
        <v>318.6165763945578</v>
      </c>
      <c r="E10" s="33">
        <f>C32*'E Balans VL '!I20/100/3.6*1000000</f>
        <v>3.6445400188040438</v>
      </c>
      <c r="F10" s="33">
        <f>C32*'E Balans VL '!L20/100/3.6*1000000+C32*'E Balans VL '!N20/100/3.6*1000000</f>
        <v>675.3197976383276</v>
      </c>
      <c r="G10" s="34"/>
      <c r="H10" s="33"/>
      <c r="I10" s="33"/>
      <c r="J10" s="40">
        <f>C32*'E Balans VL '!D20/100/3.6*1000000+C32*'E Balans VL '!E20/100/3.6*1000000</f>
        <v>8.556202185148738</v>
      </c>
      <c r="K10" s="33"/>
      <c r="L10" s="33"/>
      <c r="M10" s="33"/>
      <c r="N10" s="33">
        <f>C32*'E Balans VL '!Y20/100/3.6*1000000</f>
        <v>188.44494402693635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918.15940000000001</v>
      </c>
      <c r="C15" s="33"/>
      <c r="D15" s="37">
        <f>IF( ISERROR(IND_rest_gas_kWh/1000),0,IND_rest_gas_kWh/1000)*0.902</f>
        <v>547.23472642561796</v>
      </c>
      <c r="E15" s="33">
        <f>C37*'E Balans VL '!I15/100/3.6*1000000</f>
        <v>46.709624473780956</v>
      </c>
      <c r="F15" s="33">
        <f>C37*'E Balans VL '!L15/100/3.6*1000000+C37*'E Balans VL '!N15/100/3.6*1000000</f>
        <v>209.28307228674652</v>
      </c>
      <c r="G15" s="34"/>
      <c r="H15" s="33"/>
      <c r="I15" s="33"/>
      <c r="J15" s="40">
        <f>C37*'E Balans VL '!D15/100/3.6*1000000+C37*'E Balans VL '!E15/100/3.6*1000000</f>
        <v>3.8519820069284791</v>
      </c>
      <c r="K15" s="33"/>
      <c r="L15" s="33"/>
      <c r="M15" s="33"/>
      <c r="N15" s="33">
        <f>C37*'E Balans VL '!Y15/100/3.6*1000000</f>
        <v>50.018566762818999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2428.3548000000001</v>
      </c>
      <c r="C18" s="21">
        <f>C5+C16</f>
        <v>0</v>
      </c>
      <c r="D18" s="21">
        <f>MAX((D5+D16),0)</f>
        <v>1524.9183272356288</v>
      </c>
      <c r="E18" s="21">
        <f>MAX((E5+E16),0)</f>
        <v>358.12194034058064</v>
      </c>
      <c r="F18" s="21">
        <f>MAX((F5+F16),0)</f>
        <v>1775.6958159767323</v>
      </c>
      <c r="G18" s="21"/>
      <c r="H18" s="21"/>
      <c r="I18" s="21"/>
      <c r="J18" s="21">
        <f>MAX((J5+J16),0)</f>
        <v>12.408184192077217</v>
      </c>
      <c r="K18" s="21"/>
      <c r="L18" s="21">
        <f>MAX((L5+L16),0)</f>
        <v>0</v>
      </c>
      <c r="M18" s="21"/>
      <c r="N18" s="21">
        <f>MAX((N5+N16),0)</f>
        <v>329.28994410723845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0.19215743792790488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466.62643674792986</v>
      </c>
      <c r="C22" s="23">
        <f ca="1">C18*C20</f>
        <v>0</v>
      </c>
      <c r="D22" s="23">
        <f>D18*D20</f>
        <v>308.03350210159704</v>
      </c>
      <c r="E22" s="23">
        <f>E18*E20</f>
        <v>81.293680457311808</v>
      </c>
      <c r="F22" s="23">
        <f>F18*F20</f>
        <v>474.11078286578754</v>
      </c>
      <c r="G22" s="23"/>
      <c r="H22" s="23"/>
      <c r="I22" s="23"/>
      <c r="J22" s="23">
        <f>J18*J20</f>
        <v>4.3924972039953341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36.712000000000003</v>
      </c>
      <c r="C30" s="39">
        <f>IF(ISERROR(B30*3.6/1000000/'E Balans VL '!Z18*100),0,B30*3.6/1000000/'E Balans VL '!Z18*100)</f>
        <v>5.138456559084275E-3</v>
      </c>
      <c r="D30" s="237" t="s">
        <v>691</v>
      </c>
    </row>
    <row r="31" spans="1:18">
      <c r="A31" s="6" t="s">
        <v>32</v>
      </c>
      <c r="B31" s="37">
        <f>IF( ISERROR(IND_ander_ele_kWh/1000),0,IND_ander_ele_kWh/1000)</f>
        <v>1115.981</v>
      </c>
      <c r="C31" s="39">
        <f>IF(ISERROR(B31*3.6/1000000/'E Balans VL '!Z19*100),0,B31*3.6/1000000/'E Balans VL '!Z19*100)</f>
        <v>4.8846307332160971E-2</v>
      </c>
      <c r="D31" s="237" t="s">
        <v>691</v>
      </c>
    </row>
    <row r="32" spans="1:18">
      <c r="A32" s="171" t="s">
        <v>40</v>
      </c>
      <c r="B32" s="37">
        <f>IF( ISERROR(IND_voed_ele_kWh/1000),0,IND_voed_ele_kWh/1000)</f>
        <v>357.50240000000002</v>
      </c>
      <c r="C32" s="39">
        <f>IF(ISERROR(B32*3.6/1000000/'E Balans VL '!Z20*100),0,B32*3.6/1000000/'E Balans VL '!Z20*100)</f>
        <v>8.8505722170891518E-2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918.15940000000001</v>
      </c>
      <c r="C37" s="39">
        <f>IF(ISERROR(B37*3.6/1000000/'E Balans VL '!Z15*100),0,B37*3.6/1000000/'E Balans VL '!Z15*100)</f>
        <v>6.8079947554587636E-3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2122.8845000000001</v>
      </c>
      <c r="C5" s="17">
        <f>'Eigen informatie GS &amp; warmtenet'!B60</f>
        <v>0</v>
      </c>
      <c r="D5" s="30">
        <f>IF(ISERROR(SUM(LB_lb_gas_kWh,LB_rest_gas_kWh)/1000),0,SUM(LB_lb_gas_kWh,LB_rest_gas_kWh)/1000)*0.902</f>
        <v>273.02231853286702</v>
      </c>
      <c r="E5" s="17">
        <f>B17*'E Balans VL '!I25/3.6*1000000/100</f>
        <v>19.663045384760586</v>
      </c>
      <c r="F5" s="17">
        <f>B17*('E Balans VL '!L25/3.6*1000000+'E Balans VL '!N25/3.6*1000000)/100</f>
        <v>5386.1623855822372</v>
      </c>
      <c r="G5" s="18"/>
      <c r="H5" s="17"/>
      <c r="I5" s="17"/>
      <c r="J5" s="17">
        <f>('E Balans VL '!D25+'E Balans VL '!E25)/3.6*1000000*landbouw!B17/100</f>
        <v>325.46188531016577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2122.8845000000001</v>
      </c>
      <c r="C8" s="21">
        <f>C5+C6</f>
        <v>0</v>
      </c>
      <c r="D8" s="21">
        <f>MAX((D5+D6),0)</f>
        <v>273.02231853286702</v>
      </c>
      <c r="E8" s="21">
        <f>MAX((E5+E6),0)</f>
        <v>19.663045384760586</v>
      </c>
      <c r="F8" s="21">
        <f>MAX((F5+F6),0)</f>
        <v>5386.1623855822372</v>
      </c>
      <c r="G8" s="21"/>
      <c r="H8" s="21"/>
      <c r="I8" s="21"/>
      <c r="J8" s="21">
        <f>MAX((J5+J6),0)</f>
        <v>325.46188531016577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0.19215743792790488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407.92804653686142</v>
      </c>
      <c r="C12" s="23">
        <f ca="1">C8*C10</f>
        <v>0</v>
      </c>
      <c r="D12" s="23">
        <f>D8*D10</f>
        <v>55.150508343639139</v>
      </c>
      <c r="E12" s="23">
        <f>E8*E10</f>
        <v>4.4635113023406534</v>
      </c>
      <c r="F12" s="23">
        <f>F8*F10</f>
        <v>1438.1053569504575</v>
      </c>
      <c r="G12" s="23"/>
      <c r="H12" s="23"/>
      <c r="I12" s="23"/>
      <c r="J12" s="23">
        <f>J8*J10</f>
        <v>115.21350739979867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0.30182916296815659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472.11041058743263</v>
      </c>
      <c r="C26" s="247">
        <f>B26*'GWP N2O_CH4'!B5</f>
        <v>9914.3186223360844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231.14043821547233</v>
      </c>
      <c r="C27" s="247">
        <f>B27*'GWP N2O_CH4'!B5</f>
        <v>4853.9492025249192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15.715510469133742</v>
      </c>
      <c r="C28" s="247">
        <f>B28*'GWP N2O_CH4'!B4</f>
        <v>4871.8082454314599</v>
      </c>
      <c r="D28" s="50"/>
    </row>
    <row r="29" spans="1:4">
      <c r="A29" s="41" t="s">
        <v>276</v>
      </c>
      <c r="B29" s="247">
        <f>B34*'ha_N2O bodem landbouw'!B4</f>
        <v>18.31033125023222</v>
      </c>
      <c r="C29" s="247">
        <f>B29*'GWP N2O_CH4'!B4</f>
        <v>5676.2026875719885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4.1066847206385404E-3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4.7244251484061491E-5</v>
      </c>
      <c r="C5" s="438" t="s">
        <v>210</v>
      </c>
      <c r="D5" s="423">
        <f>SUM(D6:D11)</f>
        <v>8.9916222704148333E-5</v>
      </c>
      <c r="E5" s="423">
        <f>SUM(E6:E11)</f>
        <v>9.0374826940463663E-4</v>
      </c>
      <c r="F5" s="436" t="s">
        <v>210</v>
      </c>
      <c r="G5" s="423">
        <f>SUM(G6:G11)</f>
        <v>0.35270757717094631</v>
      </c>
      <c r="H5" s="423">
        <f>SUM(H6:H11)</f>
        <v>5.5192783933372569E-2</v>
      </c>
      <c r="I5" s="438" t="s">
        <v>210</v>
      </c>
      <c r="J5" s="438" t="s">
        <v>210</v>
      </c>
      <c r="K5" s="438" t="s">
        <v>210</v>
      </c>
      <c r="L5" s="438" t="s">
        <v>210</v>
      </c>
      <c r="M5" s="423">
        <f>SUM(M6:M11)</f>
        <v>2.2132518457967772E-2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3.1485805673104994E-5</v>
      </c>
      <c r="C6" s="424"/>
      <c r="D6" s="866">
        <f>vkm_GW_PW*SUMIFS(TableVerdeelsleutelVkm[CNG],TableVerdeelsleutelVkm[Voertuigtype],"Lichte voertuigen")*SUMIFS(TableECFTransport[EnergieConsumptieFactor (PJ per km)],TableECFTransport[Index],CONCATENATE($A6,"_CNG_CNG"))</f>
        <v>5.4942242471095824E-5</v>
      </c>
      <c r="E6" s="866">
        <f>vkm_GW_PW*SUMIFS(TableVerdeelsleutelVkm[LPG],TableVerdeelsleutelVkm[Voertuigtype],"Lichte voertuigen")*SUMIFS(TableECFTransport[EnergieConsumptieFactor (PJ per km)],TableECFTransport[Index],CONCATENATE($A6,"_LPG_LPG"))</f>
        <v>5.3214262641335423E-4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0.12506267374966931</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3.3646312674111847E-2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8.2770867268451512E-3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5.8065719860866692E-2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1.126078876168694E-6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3.3665191649641614E-3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5.83918307631425E-6</v>
      </c>
      <c r="C8" s="424"/>
      <c r="D8" s="426">
        <f>vkm_NGW_PW*SUMIFS(TableVerdeelsleutelVkm[CNG],TableVerdeelsleutelVkm[Voertuigtype],"Lichte voertuigen")*SUMIFS(TableECFTransport[EnergieConsumptieFactor (PJ per km)],TableECFTransport[Index],CONCATENATE($A8,"_CNG_CNG"))</f>
        <v>1.7447780221343144E-5</v>
      </c>
      <c r="E8" s="426">
        <f>vkm_NGW_PW*SUMIFS(TableVerdeelsleutelVkm[LPG],TableVerdeelsleutelVkm[Voertuigtype],"Lichte voertuigen")*SUMIFS(TableECFTransport[EnergieConsumptieFactor (PJ per km)],TableECFTransport[Index],CONCATENATE($A8,"_LPG_LPG"))</f>
        <v>1.5992471383035833E-4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3.5279680344835182E-2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1.031674501487758E-2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2.3601057289090355E-3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6.03838796625832E-3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1.45052863722066E-7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3.5009293548195512E-4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9.9192627346422489E-6</v>
      </c>
      <c r="C10" s="424"/>
      <c r="D10" s="426">
        <f>vkm_SW_PW*SUMIFS(TableVerdeelsleutelVkm[CNG],TableVerdeelsleutelVkm[Voertuigtype],"Lichte voertuigen")*SUMIFS(TableECFTransport[EnergieConsumptieFactor (PJ per km)],TableECFTransport[Index],CONCATENATE($A10,"_CNG_CNG"))</f>
        <v>1.7526200011709365E-5</v>
      </c>
      <c r="E10" s="426">
        <f>vkm_SW_PW*SUMIFS(TableVerdeelsleutelVkm[LPG],TableVerdeelsleutelVkm[Voertuigtype],"Lichte voertuigen")*SUMIFS(TableECFTransport[EnergieConsumptieFactor (PJ per km)],TableECFTransport[Index],CONCATENATE($A10,"_LPG_LPG"))</f>
        <v>2.1168092916092407E-4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4.4732643244034614E-2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1.1226733940618324E-2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2.9359188429826256E-3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8.3528472005282198E-2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1.7211720249324445E-6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4.8427950587848429E-3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13.123403190017081</v>
      </c>
      <c r="C14" s="21"/>
      <c r="D14" s="21">
        <f t="shared" ref="D14:M14" si="0">((D5)*10^9/3600)+D12</f>
        <v>24.976728528930092</v>
      </c>
      <c r="E14" s="21">
        <f t="shared" si="0"/>
        <v>251.04118594573239</v>
      </c>
      <c r="F14" s="21"/>
      <c r="G14" s="21">
        <f t="shared" si="0"/>
        <v>97974.326991929527</v>
      </c>
      <c r="H14" s="21">
        <f t="shared" si="0"/>
        <v>15331.32887038127</v>
      </c>
      <c r="I14" s="21"/>
      <c r="J14" s="21"/>
      <c r="K14" s="21"/>
      <c r="L14" s="21"/>
      <c r="M14" s="21">
        <f t="shared" si="0"/>
        <v>6147.9217938799366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0.19215743792790488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2.5217595338885759</v>
      </c>
      <c r="C18" s="23"/>
      <c r="D18" s="23">
        <f t="shared" ref="D18:M18" si="1">D14*D16</f>
        <v>5.0452991628438788</v>
      </c>
      <c r="E18" s="23">
        <f t="shared" si="1"/>
        <v>56.986349209681258</v>
      </c>
      <c r="F18" s="23"/>
      <c r="G18" s="23">
        <f t="shared" si="1"/>
        <v>26159.145306845185</v>
      </c>
      <c r="H18" s="23">
        <f t="shared" si="1"/>
        <v>3817.5008887249364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2.3519581512816161E-3</v>
      </c>
      <c r="H50" s="319">
        <f t="shared" si="2"/>
        <v>0</v>
      </c>
      <c r="I50" s="319">
        <f t="shared" si="2"/>
        <v>0</v>
      </c>
      <c r="J50" s="319">
        <f t="shared" si="2"/>
        <v>0</v>
      </c>
      <c r="K50" s="319">
        <f t="shared" si="2"/>
        <v>0</v>
      </c>
      <c r="L50" s="319">
        <f t="shared" si="2"/>
        <v>0</v>
      </c>
      <c r="M50" s="319">
        <f t="shared" si="2"/>
        <v>1.3443076925367673E-4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2.3519581512816161E-3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1.3443076925367673E-4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653.32170868933781</v>
      </c>
      <c r="H54" s="21">
        <f t="shared" si="3"/>
        <v>0</v>
      </c>
      <c r="I54" s="21">
        <f t="shared" si="3"/>
        <v>0</v>
      </c>
      <c r="J54" s="21">
        <f t="shared" si="3"/>
        <v>0</v>
      </c>
      <c r="K54" s="21">
        <f t="shared" si="3"/>
        <v>0</v>
      </c>
      <c r="L54" s="21">
        <f t="shared" si="3"/>
        <v>0</v>
      </c>
      <c r="M54" s="21">
        <f t="shared" si="3"/>
        <v>37.341880348243535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0.19215743792790488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174.4368962200532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8800.3483999999989</v>
      </c>
      <c r="D10" s="991">
        <f ca="1">tertiair!C16</f>
        <v>0</v>
      </c>
      <c r="E10" s="991">
        <f ca="1">tertiair!D16</f>
        <v>9771.35681305445</v>
      </c>
      <c r="F10" s="991">
        <f>tertiair!E16</f>
        <v>121.0260175764825</v>
      </c>
      <c r="G10" s="991">
        <f ca="1">tertiair!F16</f>
        <v>1343.3301487028843</v>
      </c>
      <c r="H10" s="991">
        <f>tertiair!G16</f>
        <v>0</v>
      </c>
      <c r="I10" s="991">
        <f>tertiair!H16</f>
        <v>0</v>
      </c>
      <c r="J10" s="991">
        <f>tertiair!I16</f>
        <v>0</v>
      </c>
      <c r="K10" s="991">
        <f>tertiair!J16</f>
        <v>0</v>
      </c>
      <c r="L10" s="991">
        <f>tertiair!K16</f>
        <v>0</v>
      </c>
      <c r="M10" s="991">
        <f ca="1">tertiair!L16</f>
        <v>0</v>
      </c>
      <c r="N10" s="991">
        <f>tertiair!M16</f>
        <v>0</v>
      </c>
      <c r="O10" s="991">
        <f ca="1">tertiair!N16</f>
        <v>936.08539587105622</v>
      </c>
      <c r="P10" s="991">
        <f>tertiair!O16</f>
        <v>6.2533333333333339</v>
      </c>
      <c r="Q10" s="992">
        <f>tertiair!P16</f>
        <v>38.133333333333333</v>
      </c>
      <c r="R10" s="675">
        <f ca="1">SUM(C10:Q10)</f>
        <v>21016.533441871539</v>
      </c>
      <c r="S10" s="67"/>
    </row>
    <row r="11" spans="1:19" s="448" customFormat="1">
      <c r="A11" s="784" t="s">
        <v>224</v>
      </c>
      <c r="B11" s="789"/>
      <c r="C11" s="991">
        <f>huishoudens!B8</f>
        <v>19939.199466868613</v>
      </c>
      <c r="D11" s="991">
        <f>huishoudens!C8</f>
        <v>0</v>
      </c>
      <c r="E11" s="991">
        <f>huishoudens!D8</f>
        <v>39313.653829200259</v>
      </c>
      <c r="F11" s="991">
        <f>huishoudens!E8</f>
        <v>6994.7029536364544</v>
      </c>
      <c r="G11" s="991">
        <f>huishoudens!F8</f>
        <v>17267.698680398549</v>
      </c>
      <c r="H11" s="991">
        <f>huishoudens!G8</f>
        <v>0</v>
      </c>
      <c r="I11" s="991">
        <f>huishoudens!H8</f>
        <v>0</v>
      </c>
      <c r="J11" s="991">
        <f>huishoudens!I8</f>
        <v>0</v>
      </c>
      <c r="K11" s="991">
        <f>huishoudens!J8</f>
        <v>0</v>
      </c>
      <c r="L11" s="991">
        <f>huishoudens!K8</f>
        <v>0</v>
      </c>
      <c r="M11" s="991">
        <f>huishoudens!L8</f>
        <v>0</v>
      </c>
      <c r="N11" s="991">
        <f>huishoudens!M8</f>
        <v>0</v>
      </c>
      <c r="O11" s="991">
        <f>huishoudens!N8</f>
        <v>20923.435777822098</v>
      </c>
      <c r="P11" s="991">
        <f>huishoudens!O8</f>
        <v>256.38666666666671</v>
      </c>
      <c r="Q11" s="992">
        <f>huishoudens!P8</f>
        <v>1010.5333333333333</v>
      </c>
      <c r="R11" s="675">
        <f>SUM(C11:Q11)</f>
        <v>105705.610707926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2428.3548000000001</v>
      </c>
      <c r="D13" s="991">
        <f>industrie!C18</f>
        <v>0</v>
      </c>
      <c r="E13" s="991">
        <f>industrie!D18</f>
        <v>1524.9183272356288</v>
      </c>
      <c r="F13" s="991">
        <f>industrie!E18</f>
        <v>358.12194034058064</v>
      </c>
      <c r="G13" s="991">
        <f>industrie!F18</f>
        <v>1775.6958159767323</v>
      </c>
      <c r="H13" s="991">
        <f>industrie!G18</f>
        <v>0</v>
      </c>
      <c r="I13" s="991">
        <f>industrie!H18</f>
        <v>0</v>
      </c>
      <c r="J13" s="991">
        <f>industrie!I18</f>
        <v>0</v>
      </c>
      <c r="K13" s="991">
        <f>industrie!J18</f>
        <v>12.408184192077217</v>
      </c>
      <c r="L13" s="991">
        <f>industrie!K18</f>
        <v>0</v>
      </c>
      <c r="M13" s="991">
        <f>industrie!L18</f>
        <v>0</v>
      </c>
      <c r="N13" s="991">
        <f>industrie!M18</f>
        <v>0</v>
      </c>
      <c r="O13" s="991">
        <f>industrie!N18</f>
        <v>329.28994410723845</v>
      </c>
      <c r="P13" s="991">
        <f>industrie!O18</f>
        <v>0</v>
      </c>
      <c r="Q13" s="992">
        <f>industrie!P18</f>
        <v>0</v>
      </c>
      <c r="R13" s="675">
        <f>SUM(C13:Q13)</f>
        <v>6428.7890118522564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31167.902666868613</v>
      </c>
      <c r="D16" s="707">
        <f t="shared" ref="D16:R16" ca="1" si="0">SUM(D9:D15)</f>
        <v>0</v>
      </c>
      <c r="E16" s="707">
        <f t="shared" ca="1" si="0"/>
        <v>50609.928969490342</v>
      </c>
      <c r="F16" s="707">
        <f t="shared" si="0"/>
        <v>7473.8509115535171</v>
      </c>
      <c r="G16" s="707">
        <f t="shared" ca="1" si="0"/>
        <v>20386.724645078164</v>
      </c>
      <c r="H16" s="707">
        <f t="shared" si="0"/>
        <v>0</v>
      </c>
      <c r="I16" s="707">
        <f t="shared" si="0"/>
        <v>0</v>
      </c>
      <c r="J16" s="707">
        <f t="shared" si="0"/>
        <v>0</v>
      </c>
      <c r="K16" s="707">
        <f t="shared" si="0"/>
        <v>12.408184192077217</v>
      </c>
      <c r="L16" s="707">
        <f t="shared" si="0"/>
        <v>0</v>
      </c>
      <c r="M16" s="707">
        <f t="shared" ca="1" si="0"/>
        <v>0</v>
      </c>
      <c r="N16" s="707">
        <f t="shared" si="0"/>
        <v>0</v>
      </c>
      <c r="O16" s="707">
        <f t="shared" ca="1" si="0"/>
        <v>22188.811117800393</v>
      </c>
      <c r="P16" s="707">
        <f t="shared" si="0"/>
        <v>262.64000000000004</v>
      </c>
      <c r="Q16" s="707">
        <f t="shared" si="0"/>
        <v>1048.6666666666667</v>
      </c>
      <c r="R16" s="707">
        <f t="shared" ca="1" si="0"/>
        <v>133150.93316164979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653.32170868933781</v>
      </c>
      <c r="I19" s="991">
        <f>transport!H54</f>
        <v>0</v>
      </c>
      <c r="J19" s="991">
        <f>transport!I54</f>
        <v>0</v>
      </c>
      <c r="K19" s="991">
        <f>transport!J54</f>
        <v>0</v>
      </c>
      <c r="L19" s="991">
        <f>transport!K54</f>
        <v>0</v>
      </c>
      <c r="M19" s="991">
        <f>transport!L54</f>
        <v>0</v>
      </c>
      <c r="N19" s="991">
        <f>transport!M54</f>
        <v>37.341880348243535</v>
      </c>
      <c r="O19" s="991">
        <f>transport!N54</f>
        <v>0</v>
      </c>
      <c r="P19" s="991">
        <f>transport!O54</f>
        <v>0</v>
      </c>
      <c r="Q19" s="992">
        <f>transport!P54</f>
        <v>0</v>
      </c>
      <c r="R19" s="675">
        <f>SUM(C19:Q19)</f>
        <v>690.66358903758135</v>
      </c>
      <c r="S19" s="67"/>
    </row>
    <row r="20" spans="1:19" s="448" customFormat="1">
      <c r="A20" s="784" t="s">
        <v>306</v>
      </c>
      <c r="B20" s="789"/>
      <c r="C20" s="991">
        <f>transport!B14</f>
        <v>13.123403190017081</v>
      </c>
      <c r="D20" s="991">
        <f>transport!C14</f>
        <v>0</v>
      </c>
      <c r="E20" s="991">
        <f>transport!D14</f>
        <v>24.976728528930092</v>
      </c>
      <c r="F20" s="991">
        <f>transport!E14</f>
        <v>251.04118594573239</v>
      </c>
      <c r="G20" s="991">
        <f>transport!F14</f>
        <v>0</v>
      </c>
      <c r="H20" s="991">
        <f>transport!G14</f>
        <v>97974.326991929527</v>
      </c>
      <c r="I20" s="991">
        <f>transport!H14</f>
        <v>15331.32887038127</v>
      </c>
      <c r="J20" s="991">
        <f>transport!I14</f>
        <v>0</v>
      </c>
      <c r="K20" s="991">
        <f>transport!J14</f>
        <v>0</v>
      </c>
      <c r="L20" s="991">
        <f>transport!K14</f>
        <v>0</v>
      </c>
      <c r="M20" s="991">
        <f>transport!L14</f>
        <v>0</v>
      </c>
      <c r="N20" s="991">
        <f>transport!M14</f>
        <v>6147.9217938799366</v>
      </c>
      <c r="O20" s="991">
        <f>transport!N14</f>
        <v>0</v>
      </c>
      <c r="P20" s="991">
        <f>transport!O14</f>
        <v>0</v>
      </c>
      <c r="Q20" s="992">
        <f>transport!P14</f>
        <v>0</v>
      </c>
      <c r="R20" s="675">
        <f>SUM(C20:Q20)</f>
        <v>119742.71897385542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13.123403190017081</v>
      </c>
      <c r="D22" s="787">
        <f t="shared" ref="D22:R22" si="1">SUM(D18:D21)</f>
        <v>0</v>
      </c>
      <c r="E22" s="787">
        <f t="shared" si="1"/>
        <v>24.976728528930092</v>
      </c>
      <c r="F22" s="787">
        <f t="shared" si="1"/>
        <v>251.04118594573239</v>
      </c>
      <c r="G22" s="787">
        <f t="shared" si="1"/>
        <v>0</v>
      </c>
      <c r="H22" s="787">
        <f t="shared" si="1"/>
        <v>98627.648700618869</v>
      </c>
      <c r="I22" s="787">
        <f t="shared" si="1"/>
        <v>15331.32887038127</v>
      </c>
      <c r="J22" s="787">
        <f t="shared" si="1"/>
        <v>0</v>
      </c>
      <c r="K22" s="787">
        <f t="shared" si="1"/>
        <v>0</v>
      </c>
      <c r="L22" s="787">
        <f t="shared" si="1"/>
        <v>0</v>
      </c>
      <c r="M22" s="787">
        <f t="shared" si="1"/>
        <v>0</v>
      </c>
      <c r="N22" s="787">
        <f t="shared" si="1"/>
        <v>6185.2636742281802</v>
      </c>
      <c r="O22" s="787">
        <f t="shared" si="1"/>
        <v>0</v>
      </c>
      <c r="P22" s="787">
        <f t="shared" si="1"/>
        <v>0</v>
      </c>
      <c r="Q22" s="787">
        <f t="shared" si="1"/>
        <v>0</v>
      </c>
      <c r="R22" s="787">
        <f t="shared" si="1"/>
        <v>120433.38256289299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2122.8845000000001</v>
      </c>
      <c r="D24" s="991">
        <f>+landbouw!C8</f>
        <v>0</v>
      </c>
      <c r="E24" s="991">
        <f>+landbouw!D8</f>
        <v>273.02231853286702</v>
      </c>
      <c r="F24" s="991">
        <f>+landbouw!E8</f>
        <v>19.663045384760586</v>
      </c>
      <c r="G24" s="991">
        <f>+landbouw!F8</f>
        <v>5386.1623855822372</v>
      </c>
      <c r="H24" s="991">
        <f>+landbouw!G8</f>
        <v>0</v>
      </c>
      <c r="I24" s="991">
        <f>+landbouw!H8</f>
        <v>0</v>
      </c>
      <c r="J24" s="991">
        <f>+landbouw!I8</f>
        <v>0</v>
      </c>
      <c r="K24" s="991">
        <f>+landbouw!J8</f>
        <v>325.46188531016577</v>
      </c>
      <c r="L24" s="991">
        <f>+landbouw!K8</f>
        <v>0</v>
      </c>
      <c r="M24" s="991">
        <f>+landbouw!L8</f>
        <v>0</v>
      </c>
      <c r="N24" s="991">
        <f>+landbouw!M8</f>
        <v>0</v>
      </c>
      <c r="O24" s="991">
        <f>+landbouw!N8</f>
        <v>0</v>
      </c>
      <c r="P24" s="991">
        <f>+landbouw!O8</f>
        <v>0</v>
      </c>
      <c r="Q24" s="992">
        <f>+landbouw!P8</f>
        <v>0</v>
      </c>
      <c r="R24" s="675">
        <f>SUM(C24:Q24)</f>
        <v>8127.1941348100299</v>
      </c>
      <c r="S24" s="67"/>
    </row>
    <row r="25" spans="1:19" s="448" customFormat="1" ht="15" thickBot="1">
      <c r="A25" s="806" t="s">
        <v>849</v>
      </c>
      <c r="B25" s="994"/>
      <c r="C25" s="995">
        <f>IF(Onbekend_ele_kWh="---",0,Onbekend_ele_kWh)/1000+IF(REST_rest_ele_kWh="---",0,REST_rest_ele_kWh)/1000</f>
        <v>762.5154</v>
      </c>
      <c r="D25" s="995"/>
      <c r="E25" s="995">
        <f>IF(onbekend_gas_kWh="---",0,onbekend_gas_kWh)/1000+IF(REST_rest_gas_kWh="---",0,REST_rest_gas_kWh)/1000</f>
        <v>1116.1371815739901</v>
      </c>
      <c r="F25" s="995"/>
      <c r="G25" s="995"/>
      <c r="H25" s="995"/>
      <c r="I25" s="995"/>
      <c r="J25" s="995"/>
      <c r="K25" s="995"/>
      <c r="L25" s="995"/>
      <c r="M25" s="995"/>
      <c r="N25" s="995"/>
      <c r="O25" s="995"/>
      <c r="P25" s="995"/>
      <c r="Q25" s="996"/>
      <c r="R25" s="675">
        <f>SUM(C25:Q25)</f>
        <v>1878.6525815739901</v>
      </c>
      <c r="S25" s="67"/>
    </row>
    <row r="26" spans="1:19" s="448" customFormat="1" ht="15.75" thickBot="1">
      <c r="A26" s="680" t="s">
        <v>850</v>
      </c>
      <c r="B26" s="792"/>
      <c r="C26" s="787">
        <f>SUM(C24:C25)</f>
        <v>2885.3999000000003</v>
      </c>
      <c r="D26" s="787">
        <f t="shared" ref="D26:R26" si="2">SUM(D24:D25)</f>
        <v>0</v>
      </c>
      <c r="E26" s="787">
        <f t="shared" si="2"/>
        <v>1389.1595001068572</v>
      </c>
      <c r="F26" s="787">
        <f t="shared" si="2"/>
        <v>19.663045384760586</v>
      </c>
      <c r="G26" s="787">
        <f t="shared" si="2"/>
        <v>5386.1623855822372</v>
      </c>
      <c r="H26" s="787">
        <f t="shared" si="2"/>
        <v>0</v>
      </c>
      <c r="I26" s="787">
        <f t="shared" si="2"/>
        <v>0</v>
      </c>
      <c r="J26" s="787">
        <f t="shared" si="2"/>
        <v>0</v>
      </c>
      <c r="K26" s="787">
        <f t="shared" si="2"/>
        <v>325.46188531016577</v>
      </c>
      <c r="L26" s="787">
        <f t="shared" si="2"/>
        <v>0</v>
      </c>
      <c r="M26" s="787">
        <f t="shared" si="2"/>
        <v>0</v>
      </c>
      <c r="N26" s="787">
        <f t="shared" si="2"/>
        <v>0</v>
      </c>
      <c r="O26" s="787">
        <f t="shared" si="2"/>
        <v>0</v>
      </c>
      <c r="P26" s="787">
        <f t="shared" si="2"/>
        <v>0</v>
      </c>
      <c r="Q26" s="787">
        <f t="shared" si="2"/>
        <v>0</v>
      </c>
      <c r="R26" s="787">
        <f t="shared" si="2"/>
        <v>10005.84671638402</v>
      </c>
      <c r="S26" s="67"/>
    </row>
    <row r="27" spans="1:19" s="448" customFormat="1" ht="17.25" thickTop="1" thickBot="1">
      <c r="A27" s="681" t="s">
        <v>115</v>
      </c>
      <c r="B27" s="780"/>
      <c r="C27" s="682">
        <f ca="1">C22+C16+C26</f>
        <v>34066.425970058626</v>
      </c>
      <c r="D27" s="682">
        <f t="shared" ref="D27:R27" ca="1" si="3">D22+D16+D26</f>
        <v>0</v>
      </c>
      <c r="E27" s="682">
        <f t="shared" ca="1" si="3"/>
        <v>52024.065198126125</v>
      </c>
      <c r="F27" s="682">
        <f t="shared" si="3"/>
        <v>7744.5551428840099</v>
      </c>
      <c r="G27" s="682">
        <f t="shared" ca="1" si="3"/>
        <v>25772.8870306604</v>
      </c>
      <c r="H27" s="682">
        <f t="shared" si="3"/>
        <v>98627.648700618869</v>
      </c>
      <c r="I27" s="682">
        <f t="shared" si="3"/>
        <v>15331.32887038127</v>
      </c>
      <c r="J27" s="682">
        <f t="shared" si="3"/>
        <v>0</v>
      </c>
      <c r="K27" s="682">
        <f t="shared" si="3"/>
        <v>337.87006950224298</v>
      </c>
      <c r="L27" s="682">
        <f t="shared" si="3"/>
        <v>0</v>
      </c>
      <c r="M27" s="682">
        <f t="shared" ca="1" si="3"/>
        <v>0</v>
      </c>
      <c r="N27" s="682">
        <f t="shared" si="3"/>
        <v>6185.2636742281802</v>
      </c>
      <c r="O27" s="682">
        <f t="shared" ca="1" si="3"/>
        <v>22188.811117800393</v>
      </c>
      <c r="P27" s="682">
        <f t="shared" si="3"/>
        <v>262.64000000000004</v>
      </c>
      <c r="Q27" s="682">
        <f t="shared" si="3"/>
        <v>1048.6666666666667</v>
      </c>
      <c r="R27" s="682">
        <f t="shared" ca="1" si="3"/>
        <v>263590.16244092677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1691.0524014169368</v>
      </c>
      <c r="D40" s="991">
        <f ca="1">tertiair!C20</f>
        <v>0</v>
      </c>
      <c r="E40" s="991">
        <f ca="1">tertiair!D20</f>
        <v>1973.814076236999</v>
      </c>
      <c r="F40" s="991">
        <f>tertiair!E20</f>
        <v>27.47290598986153</v>
      </c>
      <c r="G40" s="991">
        <f ca="1">tertiair!F20</f>
        <v>358.66914970367014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4051.0085333474672</v>
      </c>
    </row>
    <row r="41" spans="1:18">
      <c r="A41" s="797" t="s">
        <v>224</v>
      </c>
      <c r="B41" s="804"/>
      <c r="C41" s="991">
        <f ca="1">huishoudens!B12</f>
        <v>3831.4654838869196</v>
      </c>
      <c r="D41" s="991">
        <f ca="1">huishoudens!C12</f>
        <v>0</v>
      </c>
      <c r="E41" s="991">
        <f>huishoudens!D12</f>
        <v>7941.3580734984525</v>
      </c>
      <c r="F41" s="991">
        <f>huishoudens!E12</f>
        <v>1587.7975704754751</v>
      </c>
      <c r="G41" s="991">
        <f>huishoudens!F12</f>
        <v>4610.4755476664131</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17971.09667552726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466.62643674792986</v>
      </c>
      <c r="D43" s="991">
        <f ca="1">industrie!C22</f>
        <v>0</v>
      </c>
      <c r="E43" s="991">
        <f>industrie!D22</f>
        <v>308.03350210159704</v>
      </c>
      <c r="F43" s="991">
        <f>industrie!E22</f>
        <v>81.293680457311808</v>
      </c>
      <c r="G43" s="991">
        <f>industrie!F22</f>
        <v>474.11078286578754</v>
      </c>
      <c r="H43" s="991">
        <f>industrie!G22</f>
        <v>0</v>
      </c>
      <c r="I43" s="991">
        <f>industrie!H22</f>
        <v>0</v>
      </c>
      <c r="J43" s="991">
        <f>industrie!I22</f>
        <v>0</v>
      </c>
      <c r="K43" s="991">
        <f>industrie!J22</f>
        <v>4.3924972039953341</v>
      </c>
      <c r="L43" s="991">
        <f>industrie!K22</f>
        <v>0</v>
      </c>
      <c r="M43" s="991">
        <f>industrie!L22</f>
        <v>0</v>
      </c>
      <c r="N43" s="991">
        <f>industrie!M22</f>
        <v>0</v>
      </c>
      <c r="O43" s="991">
        <f>industrie!N22</f>
        <v>0</v>
      </c>
      <c r="P43" s="991">
        <f>industrie!O22</f>
        <v>0</v>
      </c>
      <c r="Q43" s="749">
        <f>industrie!P22</f>
        <v>0</v>
      </c>
      <c r="R43" s="824">
        <f t="shared" ca="1" si="4"/>
        <v>1334.4568993766215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5989.1443220517858</v>
      </c>
      <c r="D46" s="707">
        <f t="shared" ref="D46:Q46" ca="1" si="5">SUM(D39:D45)</f>
        <v>0</v>
      </c>
      <c r="E46" s="707">
        <f t="shared" ca="1" si="5"/>
        <v>10223.205651837048</v>
      </c>
      <c r="F46" s="707">
        <f t="shared" si="5"/>
        <v>1696.5641569226486</v>
      </c>
      <c r="G46" s="707">
        <f t="shared" ca="1" si="5"/>
        <v>5443.2554802358709</v>
      </c>
      <c r="H46" s="707">
        <f t="shared" si="5"/>
        <v>0</v>
      </c>
      <c r="I46" s="707">
        <f t="shared" si="5"/>
        <v>0</v>
      </c>
      <c r="J46" s="707">
        <f t="shared" si="5"/>
        <v>0</v>
      </c>
      <c r="K46" s="707">
        <f t="shared" si="5"/>
        <v>4.3924972039953341</v>
      </c>
      <c r="L46" s="707">
        <f t="shared" si="5"/>
        <v>0</v>
      </c>
      <c r="M46" s="707">
        <f t="shared" ca="1" si="5"/>
        <v>0</v>
      </c>
      <c r="N46" s="707">
        <f t="shared" si="5"/>
        <v>0</v>
      </c>
      <c r="O46" s="707">
        <f t="shared" ca="1" si="5"/>
        <v>0</v>
      </c>
      <c r="P46" s="707">
        <f t="shared" si="5"/>
        <v>0</v>
      </c>
      <c r="Q46" s="707">
        <f t="shared" si="5"/>
        <v>0</v>
      </c>
      <c r="R46" s="707">
        <f ca="1">SUM(R39:R45)</f>
        <v>23356.56210825135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174.4368962200532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174.4368962200532</v>
      </c>
    </row>
    <row r="50" spans="1:18">
      <c r="A50" s="800" t="s">
        <v>306</v>
      </c>
      <c r="B50" s="810"/>
      <c r="C50" s="678">
        <f ca="1">transport!B18</f>
        <v>2.5217595338885759</v>
      </c>
      <c r="D50" s="678">
        <f>transport!C18</f>
        <v>0</v>
      </c>
      <c r="E50" s="678">
        <f>transport!D18</f>
        <v>5.0452991628438788</v>
      </c>
      <c r="F50" s="678">
        <f>transport!E18</f>
        <v>56.986349209681258</v>
      </c>
      <c r="G50" s="678">
        <f>transport!F18</f>
        <v>0</v>
      </c>
      <c r="H50" s="678">
        <f>transport!G18</f>
        <v>26159.145306845185</v>
      </c>
      <c r="I50" s="678">
        <f>transport!H18</f>
        <v>3817.5008887249364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30041.199603476533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2.5217595338885759</v>
      </c>
      <c r="D52" s="707">
        <f t="shared" ref="D52:Q52" ca="1" si="6">SUM(D48:D51)</f>
        <v>0</v>
      </c>
      <c r="E52" s="707">
        <f t="shared" si="6"/>
        <v>5.0452991628438788</v>
      </c>
      <c r="F52" s="707">
        <f t="shared" si="6"/>
        <v>56.986349209681258</v>
      </c>
      <c r="G52" s="707">
        <f t="shared" si="6"/>
        <v>0</v>
      </c>
      <c r="H52" s="707">
        <f t="shared" si="6"/>
        <v>26333.582203065238</v>
      </c>
      <c r="I52" s="707">
        <f t="shared" si="6"/>
        <v>3817.5008887249364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30215.636499696586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407.92804653686142</v>
      </c>
      <c r="D54" s="678">
        <f ca="1">+landbouw!C12</f>
        <v>0</v>
      </c>
      <c r="E54" s="678">
        <f>+landbouw!D12</f>
        <v>55.150508343639139</v>
      </c>
      <c r="F54" s="678">
        <f>+landbouw!E12</f>
        <v>4.4635113023406534</v>
      </c>
      <c r="G54" s="678">
        <f>+landbouw!F12</f>
        <v>1438.1053569504575</v>
      </c>
      <c r="H54" s="678">
        <f>+landbouw!G12</f>
        <v>0</v>
      </c>
      <c r="I54" s="678">
        <f>+landbouw!H12</f>
        <v>0</v>
      </c>
      <c r="J54" s="678">
        <f>+landbouw!I12</f>
        <v>0</v>
      </c>
      <c r="K54" s="678">
        <f>+landbouw!J12</f>
        <v>115.21350739979867</v>
      </c>
      <c r="L54" s="678">
        <f>+landbouw!K12</f>
        <v>0</v>
      </c>
      <c r="M54" s="678">
        <f>+landbouw!L12</f>
        <v>0</v>
      </c>
      <c r="N54" s="678">
        <f>+landbouw!M12</f>
        <v>0</v>
      </c>
      <c r="O54" s="678">
        <f>+landbouw!N12</f>
        <v>0</v>
      </c>
      <c r="P54" s="678">
        <f>+landbouw!O12</f>
        <v>0</v>
      </c>
      <c r="Q54" s="679">
        <f>+landbouw!P12</f>
        <v>0</v>
      </c>
      <c r="R54" s="706">
        <f ca="1">SUM(C54:Q54)</f>
        <v>2020.8609305330972</v>
      </c>
    </row>
    <row r="55" spans="1:18" ht="15" thickBot="1">
      <c r="A55" s="800" t="s">
        <v>849</v>
      </c>
      <c r="B55" s="810"/>
      <c r="C55" s="678">
        <f ca="1">C25*'EF ele_warmte'!B12</f>
        <v>146.52300564457155</v>
      </c>
      <c r="D55" s="678"/>
      <c r="E55" s="678">
        <f>E25*EF_CO2_aardgas</f>
        <v>225.45971067794602</v>
      </c>
      <c r="F55" s="678"/>
      <c r="G55" s="678"/>
      <c r="H55" s="678"/>
      <c r="I55" s="678"/>
      <c r="J55" s="678"/>
      <c r="K55" s="678"/>
      <c r="L55" s="678"/>
      <c r="M55" s="678"/>
      <c r="N55" s="678"/>
      <c r="O55" s="678"/>
      <c r="P55" s="678"/>
      <c r="Q55" s="679"/>
      <c r="R55" s="706">
        <f ca="1">SUM(C55:Q55)</f>
        <v>371.9827163225176</v>
      </c>
    </row>
    <row r="56" spans="1:18" ht="15.75" thickBot="1">
      <c r="A56" s="798" t="s">
        <v>850</v>
      </c>
      <c r="B56" s="811"/>
      <c r="C56" s="707">
        <f ca="1">SUM(C54:C55)</f>
        <v>554.45105218143294</v>
      </c>
      <c r="D56" s="707">
        <f t="shared" ref="D56:Q56" ca="1" si="7">SUM(D54:D55)</f>
        <v>0</v>
      </c>
      <c r="E56" s="707">
        <f t="shared" si="7"/>
        <v>280.61021902158518</v>
      </c>
      <c r="F56" s="707">
        <f t="shared" si="7"/>
        <v>4.4635113023406534</v>
      </c>
      <c r="G56" s="707">
        <f t="shared" si="7"/>
        <v>1438.1053569504575</v>
      </c>
      <c r="H56" s="707">
        <f t="shared" si="7"/>
        <v>0</v>
      </c>
      <c r="I56" s="707">
        <f t="shared" si="7"/>
        <v>0</v>
      </c>
      <c r="J56" s="707">
        <f t="shared" si="7"/>
        <v>0</v>
      </c>
      <c r="K56" s="707">
        <f t="shared" si="7"/>
        <v>115.21350739979867</v>
      </c>
      <c r="L56" s="707">
        <f t="shared" si="7"/>
        <v>0</v>
      </c>
      <c r="M56" s="707">
        <f t="shared" si="7"/>
        <v>0</v>
      </c>
      <c r="N56" s="707">
        <f t="shared" si="7"/>
        <v>0</v>
      </c>
      <c r="O56" s="707">
        <f t="shared" si="7"/>
        <v>0</v>
      </c>
      <c r="P56" s="707">
        <f t="shared" si="7"/>
        <v>0</v>
      </c>
      <c r="Q56" s="708">
        <f t="shared" si="7"/>
        <v>0</v>
      </c>
      <c r="R56" s="709">
        <f ca="1">SUM(R54:R55)</f>
        <v>2392.8436468556147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6546.1171337671067</v>
      </c>
      <c r="D61" s="715">
        <f t="shared" ref="D61:Q61" ca="1" si="8">D46+D52+D56</f>
        <v>0</v>
      </c>
      <c r="E61" s="715">
        <f t="shared" ca="1" si="8"/>
        <v>10508.861170021479</v>
      </c>
      <c r="F61" s="715">
        <f t="shared" si="8"/>
        <v>1758.0140174346707</v>
      </c>
      <c r="G61" s="715">
        <f t="shared" ca="1" si="8"/>
        <v>6881.3608371863284</v>
      </c>
      <c r="H61" s="715">
        <f t="shared" si="8"/>
        <v>26333.582203065238</v>
      </c>
      <c r="I61" s="715">
        <f t="shared" si="8"/>
        <v>3817.5008887249364</v>
      </c>
      <c r="J61" s="715">
        <f t="shared" si="8"/>
        <v>0</v>
      </c>
      <c r="K61" s="715">
        <f t="shared" si="8"/>
        <v>119.60600460379401</v>
      </c>
      <c r="L61" s="715">
        <f t="shared" si="8"/>
        <v>0</v>
      </c>
      <c r="M61" s="715">
        <f t="shared" ca="1" si="8"/>
        <v>0</v>
      </c>
      <c r="N61" s="715">
        <f t="shared" si="8"/>
        <v>0</v>
      </c>
      <c r="O61" s="715">
        <f t="shared" ca="1" si="8"/>
        <v>0</v>
      </c>
      <c r="P61" s="715">
        <f t="shared" si="8"/>
        <v>0</v>
      </c>
      <c r="Q61" s="715">
        <f t="shared" si="8"/>
        <v>0</v>
      </c>
      <c r="R61" s="715">
        <f ca="1">R46+R52+R56</f>
        <v>55965.042254803557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0.19215743792790485</v>
      </c>
      <c r="D63" s="756">
        <f t="shared" ca="1" si="9"/>
        <v>0</v>
      </c>
      <c r="E63" s="1002">
        <f t="shared" ca="1" si="9"/>
        <v>0.20200000000000004</v>
      </c>
      <c r="F63" s="756">
        <f t="shared" si="9"/>
        <v>0.22700000000000006</v>
      </c>
      <c r="G63" s="756">
        <f t="shared" ca="1" si="9"/>
        <v>0.26700000000000007</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4445.9864507504444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4445.9864507504444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4445.9864507504444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4445.9864507504444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19939.199466868613</v>
      </c>
      <c r="C4" s="452">
        <f>huishoudens!C8</f>
        <v>0</v>
      </c>
      <c r="D4" s="452">
        <f>huishoudens!D8</f>
        <v>39313.653829200259</v>
      </c>
      <c r="E4" s="452">
        <f>huishoudens!E8</f>
        <v>6994.7029536364544</v>
      </c>
      <c r="F4" s="452">
        <f>huishoudens!F8</f>
        <v>17267.698680398549</v>
      </c>
      <c r="G4" s="452">
        <f>huishoudens!G8</f>
        <v>0</v>
      </c>
      <c r="H4" s="452">
        <f>huishoudens!H8</f>
        <v>0</v>
      </c>
      <c r="I4" s="452">
        <f>huishoudens!I8</f>
        <v>0</v>
      </c>
      <c r="J4" s="452">
        <f>huishoudens!J8</f>
        <v>0</v>
      </c>
      <c r="K4" s="452">
        <f>huishoudens!K8</f>
        <v>0</v>
      </c>
      <c r="L4" s="452">
        <f>huishoudens!L8</f>
        <v>0</v>
      </c>
      <c r="M4" s="452">
        <f>huishoudens!M8</f>
        <v>0</v>
      </c>
      <c r="N4" s="452">
        <f>huishoudens!N8</f>
        <v>20923.435777822098</v>
      </c>
      <c r="O4" s="452">
        <f>huishoudens!O8</f>
        <v>256.38666666666671</v>
      </c>
      <c r="P4" s="453">
        <f>huishoudens!P8</f>
        <v>1010.5333333333333</v>
      </c>
      <c r="Q4" s="454">
        <f>SUM(B4:P4)</f>
        <v>105705.610707926</v>
      </c>
    </row>
    <row r="5" spans="1:17">
      <c r="A5" s="451" t="s">
        <v>155</v>
      </c>
      <c r="B5" s="452">
        <f ca="1">tertiair!B16</f>
        <v>8249.5733999999993</v>
      </c>
      <c r="C5" s="452">
        <f ca="1">tertiair!C16</f>
        <v>0</v>
      </c>
      <c r="D5" s="452">
        <f ca="1">tertiair!D16</f>
        <v>9771.35681305445</v>
      </c>
      <c r="E5" s="452">
        <f>tertiair!E16</f>
        <v>121.0260175764825</v>
      </c>
      <c r="F5" s="452">
        <f ca="1">tertiair!F16</f>
        <v>1343.3301487028843</v>
      </c>
      <c r="G5" s="452">
        <f>tertiair!G16</f>
        <v>0</v>
      </c>
      <c r="H5" s="452">
        <f>tertiair!H16</f>
        <v>0</v>
      </c>
      <c r="I5" s="452">
        <f>tertiair!I16</f>
        <v>0</v>
      </c>
      <c r="J5" s="452">
        <f>tertiair!J16</f>
        <v>0</v>
      </c>
      <c r="K5" s="452">
        <f>tertiair!K16</f>
        <v>0</v>
      </c>
      <c r="L5" s="452">
        <f ca="1">tertiair!L16</f>
        <v>0</v>
      </c>
      <c r="M5" s="452">
        <f>tertiair!M16</f>
        <v>0</v>
      </c>
      <c r="N5" s="452">
        <f ca="1">tertiair!N16</f>
        <v>936.08539587105622</v>
      </c>
      <c r="O5" s="452">
        <f>tertiair!O16</f>
        <v>6.2533333333333339</v>
      </c>
      <c r="P5" s="453">
        <f>tertiair!P16</f>
        <v>38.133333333333333</v>
      </c>
      <c r="Q5" s="451">
        <f t="shared" ref="Q5:Q14" ca="1" si="0">SUM(B5:P5)</f>
        <v>20465.758441871541</v>
      </c>
    </row>
    <row r="6" spans="1:17">
      <c r="A6" s="451" t="s">
        <v>193</v>
      </c>
      <c r="B6" s="452">
        <f>'openbare verlichting'!B8</f>
        <v>550.77499999999998</v>
      </c>
      <c r="C6" s="452"/>
      <c r="D6" s="452"/>
      <c r="E6" s="452"/>
      <c r="F6" s="452"/>
      <c r="G6" s="452"/>
      <c r="H6" s="452"/>
      <c r="I6" s="452"/>
      <c r="J6" s="452"/>
      <c r="K6" s="452"/>
      <c r="L6" s="452"/>
      <c r="M6" s="452"/>
      <c r="N6" s="452"/>
      <c r="O6" s="452"/>
      <c r="P6" s="453"/>
      <c r="Q6" s="451">
        <f t="shared" si="0"/>
        <v>550.77499999999998</v>
      </c>
    </row>
    <row r="7" spans="1:17">
      <c r="A7" s="451" t="s">
        <v>111</v>
      </c>
      <c r="B7" s="452">
        <f>landbouw!B8</f>
        <v>2122.8845000000001</v>
      </c>
      <c r="C7" s="452">
        <f>landbouw!C8</f>
        <v>0</v>
      </c>
      <c r="D7" s="452">
        <f>landbouw!D8</f>
        <v>273.02231853286702</v>
      </c>
      <c r="E7" s="452">
        <f>landbouw!E8</f>
        <v>19.663045384760586</v>
      </c>
      <c r="F7" s="452">
        <f>landbouw!F8</f>
        <v>5386.1623855822372</v>
      </c>
      <c r="G7" s="452">
        <f>landbouw!G8</f>
        <v>0</v>
      </c>
      <c r="H7" s="452">
        <f>landbouw!H8</f>
        <v>0</v>
      </c>
      <c r="I7" s="452">
        <f>landbouw!I8</f>
        <v>0</v>
      </c>
      <c r="J7" s="452">
        <f>landbouw!J8</f>
        <v>325.46188531016577</v>
      </c>
      <c r="K7" s="452">
        <f>landbouw!K8</f>
        <v>0</v>
      </c>
      <c r="L7" s="452">
        <f>landbouw!L8</f>
        <v>0</v>
      </c>
      <c r="M7" s="452">
        <f>landbouw!M8</f>
        <v>0</v>
      </c>
      <c r="N7" s="452">
        <f>landbouw!N8</f>
        <v>0</v>
      </c>
      <c r="O7" s="452">
        <f>landbouw!O8</f>
        <v>0</v>
      </c>
      <c r="P7" s="453">
        <f>landbouw!P8</f>
        <v>0</v>
      </c>
      <c r="Q7" s="451">
        <f t="shared" si="0"/>
        <v>8127.1941348100299</v>
      </c>
    </row>
    <row r="8" spans="1:17">
      <c r="A8" s="451" t="s">
        <v>649</v>
      </c>
      <c r="B8" s="452">
        <f>industrie!B18</f>
        <v>2428.3548000000001</v>
      </c>
      <c r="C8" s="452">
        <f>industrie!C18</f>
        <v>0</v>
      </c>
      <c r="D8" s="452">
        <f>industrie!D18</f>
        <v>1524.9183272356288</v>
      </c>
      <c r="E8" s="452">
        <f>industrie!E18</f>
        <v>358.12194034058064</v>
      </c>
      <c r="F8" s="452">
        <f>industrie!F18</f>
        <v>1775.6958159767323</v>
      </c>
      <c r="G8" s="452">
        <f>industrie!G18</f>
        <v>0</v>
      </c>
      <c r="H8" s="452">
        <f>industrie!H18</f>
        <v>0</v>
      </c>
      <c r="I8" s="452">
        <f>industrie!I18</f>
        <v>0</v>
      </c>
      <c r="J8" s="452">
        <f>industrie!J18</f>
        <v>12.408184192077217</v>
      </c>
      <c r="K8" s="452">
        <f>industrie!K18</f>
        <v>0</v>
      </c>
      <c r="L8" s="452">
        <f>industrie!L18</f>
        <v>0</v>
      </c>
      <c r="M8" s="452">
        <f>industrie!M18</f>
        <v>0</v>
      </c>
      <c r="N8" s="452">
        <f>industrie!N18</f>
        <v>329.28994410723845</v>
      </c>
      <c r="O8" s="452">
        <f>industrie!O18</f>
        <v>0</v>
      </c>
      <c r="P8" s="453">
        <f>industrie!P18</f>
        <v>0</v>
      </c>
      <c r="Q8" s="451">
        <f t="shared" si="0"/>
        <v>6428.7890118522564</v>
      </c>
    </row>
    <row r="9" spans="1:17" s="457" customFormat="1">
      <c r="A9" s="455" t="s">
        <v>570</v>
      </c>
      <c r="B9" s="456">
        <f>transport!B14</f>
        <v>13.123403190017081</v>
      </c>
      <c r="C9" s="456">
        <f>transport!C14</f>
        <v>0</v>
      </c>
      <c r="D9" s="456">
        <f>transport!D14</f>
        <v>24.976728528930092</v>
      </c>
      <c r="E9" s="456">
        <f>transport!E14</f>
        <v>251.04118594573239</v>
      </c>
      <c r="F9" s="456">
        <f>transport!F14</f>
        <v>0</v>
      </c>
      <c r="G9" s="456">
        <f>transport!G14</f>
        <v>97974.326991929527</v>
      </c>
      <c r="H9" s="456">
        <f>transport!H14</f>
        <v>15331.32887038127</v>
      </c>
      <c r="I9" s="456">
        <f>transport!I14</f>
        <v>0</v>
      </c>
      <c r="J9" s="456">
        <f>transport!J14</f>
        <v>0</v>
      </c>
      <c r="K9" s="456">
        <f>transport!K14</f>
        <v>0</v>
      </c>
      <c r="L9" s="456">
        <f>transport!L14</f>
        <v>0</v>
      </c>
      <c r="M9" s="456">
        <f>transport!M14</f>
        <v>6147.9217938799366</v>
      </c>
      <c r="N9" s="456">
        <f>transport!N14</f>
        <v>0</v>
      </c>
      <c r="O9" s="456">
        <f>transport!O14</f>
        <v>0</v>
      </c>
      <c r="P9" s="456">
        <f>transport!P14</f>
        <v>0</v>
      </c>
      <c r="Q9" s="455">
        <f>SUM(B9:P9)</f>
        <v>119742.71897385542</v>
      </c>
    </row>
    <row r="10" spans="1:17">
      <c r="A10" s="451" t="s">
        <v>560</v>
      </c>
      <c r="B10" s="452">
        <f>transport!B54</f>
        <v>0</v>
      </c>
      <c r="C10" s="452">
        <f>transport!C54</f>
        <v>0</v>
      </c>
      <c r="D10" s="452">
        <f>transport!D54</f>
        <v>0</v>
      </c>
      <c r="E10" s="452">
        <f>transport!E54</f>
        <v>0</v>
      </c>
      <c r="F10" s="452">
        <f>transport!F54</f>
        <v>0</v>
      </c>
      <c r="G10" s="452">
        <f>transport!G54</f>
        <v>653.32170868933781</v>
      </c>
      <c r="H10" s="452">
        <f>transport!H54</f>
        <v>0</v>
      </c>
      <c r="I10" s="452">
        <f>transport!I54</f>
        <v>0</v>
      </c>
      <c r="J10" s="452">
        <f>transport!J54</f>
        <v>0</v>
      </c>
      <c r="K10" s="452">
        <f>transport!K54</f>
        <v>0</v>
      </c>
      <c r="L10" s="452">
        <f>transport!L54</f>
        <v>0</v>
      </c>
      <c r="M10" s="452">
        <f>transport!M54</f>
        <v>37.341880348243535</v>
      </c>
      <c r="N10" s="452">
        <f>transport!N54</f>
        <v>0</v>
      </c>
      <c r="O10" s="452">
        <f>transport!O54</f>
        <v>0</v>
      </c>
      <c r="P10" s="453">
        <f>transport!P54</f>
        <v>0</v>
      </c>
      <c r="Q10" s="451">
        <f t="shared" si="0"/>
        <v>690.66358903758135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762.5154</v>
      </c>
      <c r="C14" s="459"/>
      <c r="D14" s="459">
        <f>'SEAP template'!E25</f>
        <v>1116.1371815739901</v>
      </c>
      <c r="E14" s="459"/>
      <c r="F14" s="459"/>
      <c r="G14" s="459"/>
      <c r="H14" s="459"/>
      <c r="I14" s="459"/>
      <c r="J14" s="459"/>
      <c r="K14" s="459"/>
      <c r="L14" s="459"/>
      <c r="M14" s="459"/>
      <c r="N14" s="459"/>
      <c r="O14" s="459"/>
      <c r="P14" s="460"/>
      <c r="Q14" s="451">
        <f t="shared" si="0"/>
        <v>1878.6525815739901</v>
      </c>
    </row>
    <row r="15" spans="1:17" s="461" customFormat="1">
      <c r="A15" s="1017" t="s">
        <v>564</v>
      </c>
      <c r="B15" s="957">
        <f ca="1">SUM(B4:B14)</f>
        <v>34066.425970058626</v>
      </c>
      <c r="C15" s="957">
        <f t="shared" ref="C15:Q15" ca="1" si="1">SUM(C4:C14)</f>
        <v>0</v>
      </c>
      <c r="D15" s="957">
        <f t="shared" ca="1" si="1"/>
        <v>52024.065198126125</v>
      </c>
      <c r="E15" s="957">
        <f t="shared" si="1"/>
        <v>7744.5551428840099</v>
      </c>
      <c r="F15" s="957">
        <f t="shared" ca="1" si="1"/>
        <v>25772.8870306604</v>
      </c>
      <c r="G15" s="957">
        <f t="shared" si="1"/>
        <v>98627.648700618869</v>
      </c>
      <c r="H15" s="957">
        <f t="shared" si="1"/>
        <v>15331.32887038127</v>
      </c>
      <c r="I15" s="957">
        <f t="shared" si="1"/>
        <v>0</v>
      </c>
      <c r="J15" s="957">
        <f t="shared" si="1"/>
        <v>337.87006950224298</v>
      </c>
      <c r="K15" s="957">
        <f t="shared" si="1"/>
        <v>0</v>
      </c>
      <c r="L15" s="957">
        <f t="shared" ca="1" si="1"/>
        <v>0</v>
      </c>
      <c r="M15" s="957">
        <f t="shared" si="1"/>
        <v>6185.2636742281802</v>
      </c>
      <c r="N15" s="957">
        <f t="shared" ca="1" si="1"/>
        <v>22188.811117800393</v>
      </c>
      <c r="O15" s="957">
        <f t="shared" si="1"/>
        <v>262.64000000000004</v>
      </c>
      <c r="P15" s="957">
        <f t="shared" si="1"/>
        <v>1048.6666666666667</v>
      </c>
      <c r="Q15" s="957">
        <f t="shared" ca="1" si="1"/>
        <v>263590.16244092683</v>
      </c>
    </row>
    <row r="17" spans="1:17">
      <c r="A17" s="462" t="s">
        <v>565</v>
      </c>
      <c r="B17" s="761">
        <f ca="1">huishoudens!B10</f>
        <v>0.19215743792790488</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3831.4654838869196</v>
      </c>
      <c r="C22" s="452">
        <f t="shared" ref="C22:C32" ca="1" si="3">C4*$C$17</f>
        <v>0</v>
      </c>
      <c r="D22" s="452">
        <f t="shared" ref="D22:D32" si="4">D4*$D$17</f>
        <v>7941.3580734984525</v>
      </c>
      <c r="E22" s="452">
        <f t="shared" ref="E22:E32" si="5">E4*$E$17</f>
        <v>1587.7975704754751</v>
      </c>
      <c r="F22" s="452">
        <f t="shared" ref="F22:F32" si="6">F4*$F$17</f>
        <v>4610.4755476664131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17971.09667552726</v>
      </c>
    </row>
    <row r="23" spans="1:17">
      <c r="A23" s="451" t="s">
        <v>155</v>
      </c>
      <c r="B23" s="452">
        <f t="shared" ca="1" si="2"/>
        <v>1585.216888542195</v>
      </c>
      <c r="C23" s="452">
        <f t="shared" ca="1" si="3"/>
        <v>0</v>
      </c>
      <c r="D23" s="452">
        <f t="shared" ca="1" si="4"/>
        <v>1973.814076236999</v>
      </c>
      <c r="E23" s="452">
        <f t="shared" si="5"/>
        <v>27.47290598986153</v>
      </c>
      <c r="F23" s="452">
        <f t="shared" ca="1" si="6"/>
        <v>358.66914970367014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3945.1730204727251</v>
      </c>
    </row>
    <row r="24" spans="1:17">
      <c r="A24" s="451" t="s">
        <v>193</v>
      </c>
      <c r="B24" s="452">
        <f t="shared" ca="1" si="2"/>
        <v>105.83551287474181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105.83551287474181</v>
      </c>
    </row>
    <row r="25" spans="1:17">
      <c r="A25" s="451" t="s">
        <v>111</v>
      </c>
      <c r="B25" s="452">
        <f t="shared" ca="1" si="2"/>
        <v>407.92804653686142</v>
      </c>
      <c r="C25" s="452">
        <f t="shared" ca="1" si="3"/>
        <v>0</v>
      </c>
      <c r="D25" s="452">
        <f t="shared" si="4"/>
        <v>55.150508343639139</v>
      </c>
      <c r="E25" s="452">
        <f t="shared" si="5"/>
        <v>4.4635113023406534</v>
      </c>
      <c r="F25" s="452">
        <f t="shared" si="6"/>
        <v>1438.1053569504575</v>
      </c>
      <c r="G25" s="452">
        <f t="shared" si="7"/>
        <v>0</v>
      </c>
      <c r="H25" s="452">
        <f t="shared" si="8"/>
        <v>0</v>
      </c>
      <c r="I25" s="452">
        <f t="shared" si="9"/>
        <v>0</v>
      </c>
      <c r="J25" s="452">
        <f t="shared" si="10"/>
        <v>115.21350739979867</v>
      </c>
      <c r="K25" s="452">
        <f t="shared" si="11"/>
        <v>0</v>
      </c>
      <c r="L25" s="452">
        <f t="shared" si="12"/>
        <v>0</v>
      </c>
      <c r="M25" s="452">
        <f t="shared" si="13"/>
        <v>0</v>
      </c>
      <c r="N25" s="452">
        <f t="shared" si="14"/>
        <v>0</v>
      </c>
      <c r="O25" s="452">
        <f t="shared" si="15"/>
        <v>0</v>
      </c>
      <c r="P25" s="453">
        <f t="shared" si="16"/>
        <v>0</v>
      </c>
      <c r="Q25" s="451">
        <f t="shared" ca="1" si="17"/>
        <v>2020.8609305330972</v>
      </c>
    </row>
    <row r="26" spans="1:17">
      <c r="A26" s="451" t="s">
        <v>649</v>
      </c>
      <c r="B26" s="452">
        <f t="shared" ca="1" si="2"/>
        <v>466.62643674792986</v>
      </c>
      <c r="C26" s="452">
        <f t="shared" ca="1" si="3"/>
        <v>0</v>
      </c>
      <c r="D26" s="452">
        <f t="shared" si="4"/>
        <v>308.03350210159704</v>
      </c>
      <c r="E26" s="452">
        <f t="shared" si="5"/>
        <v>81.293680457311808</v>
      </c>
      <c r="F26" s="452">
        <f t="shared" si="6"/>
        <v>474.11078286578754</v>
      </c>
      <c r="G26" s="452">
        <f t="shared" si="7"/>
        <v>0</v>
      </c>
      <c r="H26" s="452">
        <f t="shared" si="8"/>
        <v>0</v>
      </c>
      <c r="I26" s="452">
        <f t="shared" si="9"/>
        <v>0</v>
      </c>
      <c r="J26" s="452">
        <f t="shared" si="10"/>
        <v>4.3924972039953341</v>
      </c>
      <c r="K26" s="452">
        <f t="shared" si="11"/>
        <v>0</v>
      </c>
      <c r="L26" s="452">
        <f t="shared" si="12"/>
        <v>0</v>
      </c>
      <c r="M26" s="452">
        <f t="shared" si="13"/>
        <v>0</v>
      </c>
      <c r="N26" s="452">
        <f t="shared" si="14"/>
        <v>0</v>
      </c>
      <c r="O26" s="452">
        <f t="shared" si="15"/>
        <v>0</v>
      </c>
      <c r="P26" s="453">
        <f t="shared" si="16"/>
        <v>0</v>
      </c>
      <c r="Q26" s="451">
        <f t="shared" ca="1" si="17"/>
        <v>1334.4568993766215</v>
      </c>
    </row>
    <row r="27" spans="1:17" s="457" customFormat="1">
      <c r="A27" s="455" t="s">
        <v>570</v>
      </c>
      <c r="B27" s="755">
        <f t="shared" ca="1" si="2"/>
        <v>2.5217595338885759</v>
      </c>
      <c r="C27" s="456">
        <f t="shared" ca="1" si="3"/>
        <v>0</v>
      </c>
      <c r="D27" s="456">
        <f t="shared" si="4"/>
        <v>5.0452991628438788</v>
      </c>
      <c r="E27" s="456">
        <f t="shared" si="5"/>
        <v>56.986349209681258</v>
      </c>
      <c r="F27" s="456">
        <f t="shared" si="6"/>
        <v>0</v>
      </c>
      <c r="G27" s="456">
        <f t="shared" si="7"/>
        <v>26159.145306845185</v>
      </c>
      <c r="H27" s="456">
        <f t="shared" si="8"/>
        <v>3817.5008887249364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30041.199603476533</v>
      </c>
    </row>
    <row r="28" spans="1:17">
      <c r="A28" s="451" t="s">
        <v>560</v>
      </c>
      <c r="B28" s="452">
        <f t="shared" ca="1" si="2"/>
        <v>0</v>
      </c>
      <c r="C28" s="452">
        <f t="shared" ca="1" si="3"/>
        <v>0</v>
      </c>
      <c r="D28" s="452">
        <f t="shared" si="4"/>
        <v>0</v>
      </c>
      <c r="E28" s="452">
        <f t="shared" si="5"/>
        <v>0</v>
      </c>
      <c r="F28" s="452">
        <f t="shared" si="6"/>
        <v>0</v>
      </c>
      <c r="G28" s="452">
        <f t="shared" si="7"/>
        <v>174.4368962200532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174.4368962200532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146.52300564457155</v>
      </c>
      <c r="C32" s="452">
        <f t="shared" ca="1" si="3"/>
        <v>0</v>
      </c>
      <c r="D32" s="452">
        <f t="shared" si="4"/>
        <v>225.45971067794602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371.9827163225176</v>
      </c>
    </row>
    <row r="33" spans="1:17" s="461" customFormat="1">
      <c r="A33" s="1017" t="s">
        <v>564</v>
      </c>
      <c r="B33" s="957">
        <f ca="1">SUM(B22:B32)</f>
        <v>6546.1171337671067</v>
      </c>
      <c r="C33" s="957">
        <f t="shared" ref="C33:Q33" ca="1" si="18">SUM(C22:C32)</f>
        <v>0</v>
      </c>
      <c r="D33" s="957">
        <f t="shared" ca="1" si="18"/>
        <v>10508.861170021477</v>
      </c>
      <c r="E33" s="957">
        <f t="shared" si="18"/>
        <v>1758.0140174346707</v>
      </c>
      <c r="F33" s="957">
        <f t="shared" ca="1" si="18"/>
        <v>6881.3608371863284</v>
      </c>
      <c r="G33" s="957">
        <f t="shared" si="18"/>
        <v>26333.582203065238</v>
      </c>
      <c r="H33" s="957">
        <f t="shared" si="18"/>
        <v>3817.5008887249364</v>
      </c>
      <c r="I33" s="957">
        <f t="shared" si="18"/>
        <v>0</v>
      </c>
      <c r="J33" s="957">
        <f t="shared" si="18"/>
        <v>119.60600460379401</v>
      </c>
      <c r="K33" s="957">
        <f t="shared" si="18"/>
        <v>0</v>
      </c>
      <c r="L33" s="957">
        <f t="shared" ca="1" si="18"/>
        <v>0</v>
      </c>
      <c r="M33" s="957">
        <f t="shared" si="18"/>
        <v>0</v>
      </c>
      <c r="N33" s="957">
        <f t="shared" ca="1" si="18"/>
        <v>0</v>
      </c>
      <c r="O33" s="957">
        <f t="shared" si="18"/>
        <v>0</v>
      </c>
      <c r="P33" s="957">
        <f t="shared" si="18"/>
        <v>0</v>
      </c>
      <c r="Q33" s="957">
        <f t="shared" ca="1" si="18"/>
        <v>55965.042254803549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4445.9864507504444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4445.9864507504444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0.19215743792790488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0.19215743792790488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2020-06-20T16:03:34Z</dcterms:modified>
</cp:coreProperties>
</file>