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K10" i="59" l="1"/>
  <c r="D14" i="48"/>
  <c r="D32" i="48" s="1"/>
  <c r="D13" i="15"/>
  <c r="L6" i="17"/>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O4" i="48"/>
  <c r="O22" i="48" s="1"/>
  <c r="P11" i="14"/>
  <c r="D4" i="48"/>
  <c r="D22" i="48" s="1"/>
  <c r="E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15" i="48"/>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K10" i="14"/>
  <c r="J5" i="48"/>
  <c r="J23" i="48" s="1"/>
  <c r="E5" i="48"/>
  <c r="E23" i="48" s="1"/>
  <c r="F10" i="14"/>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16" i="14" l="1"/>
  <c r="K27" i="14" s="1"/>
  <c r="J33" i="48"/>
  <c r="J15" i="48"/>
  <c r="E8" i="48"/>
  <c r="E26" i="48" s="1"/>
  <c r="E33" i="48" s="1"/>
  <c r="F13" i="14"/>
  <c r="F16" i="14" s="1"/>
  <c r="F27" i="14" s="1"/>
  <c r="F63" i="14" s="1"/>
  <c r="J22" i="16"/>
  <c r="K43" i="14" s="1"/>
  <c r="K46" i="14" s="1"/>
  <c r="K61" i="14" s="1"/>
  <c r="K63" i="14" s="1"/>
  <c r="K13" i="14"/>
  <c r="J8" i="48"/>
  <c r="J26" i="48" s="1"/>
  <c r="G33" i="48"/>
  <c r="I22" i="14"/>
  <c r="I27" i="14" s="1"/>
  <c r="I63" i="14" s="1"/>
  <c r="R20" i="14"/>
  <c r="R22" i="14" s="1"/>
  <c r="H27" i="48"/>
  <c r="H33" i="48" s="1"/>
  <c r="H15" i="48"/>
  <c r="O13" i="14"/>
  <c r="N8" i="48"/>
  <c r="N26" i="48" s="1"/>
  <c r="F8" i="48"/>
  <c r="G13" i="14"/>
  <c r="E15" i="48"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<sst xmlns="http://schemas.openxmlformats.org/spreadsheetml/2006/main" count="2443" uniqueCount="919">
  <si>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</si>
  <si>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</si>
  <si>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</si>
  <si>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</si>
  <si>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</si>
  <si>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</si>
  <si>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</si>
  <si>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</si>
  <si>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</si>
  <si>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</si>
  <si>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</si>
  <si>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</si>
  <si>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</si>
  <si>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</si>
  <si>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</si>
  <si>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</si>
  <si>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</si>
  <si>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</si>
  <si>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</si>
  <si>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</si>
  <si>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</si>
  <si>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</si>
  <si>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</si>
  <si>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</si>
  <si>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</si>
  <si>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</si>
  <si>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</si>
  <si>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</si>
  <si>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</si>
  <si>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</si>
  <si>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</si>
  <si>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</si>
  <si>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</si>
  <si>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</si>
  <si>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</si>
  <si>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</si>
  <si>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</si>
  <si>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</si>
  <si>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</si>
  <si>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</si>
  <si>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</si>
  <si>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</si>
  <si>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</si>
  <si>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</si>
  <si>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</si>
  <si>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</si>
  <si>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</si>
  <si>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</si>
  <si>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</si>
  <si>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</si>
  <si>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</si>
  <si>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</si>
  <si>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</si>
  <si>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</si>
  <si>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</si>
  <si>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</si>
  <si>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</si>
  <si>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</si>
  <si>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</si>
  <si>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</si>
  <si>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</si>
  <si>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</si>
  <si>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</si>
  <si>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</si>
  <si>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</si>
  <si>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</si>
  <si>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</si>
  <si>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</si>
  <si>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</si>
  <si>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</si>
  <si>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</si>
  <si>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</si>
  <si>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</si>
  <si>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</si>
  <si>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</si>
  <si>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</si>
  <si>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</si>
  <si>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</si>
  <si>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</si>
  <si>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</si>
  <si>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</si>
  <si>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</si>
  <si>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</si>
  <si>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</si>
  <si>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</si>
  <si>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</si>
  <si>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</si>
  <si>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</si>
  <si>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</si>
  <si>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</si>
  <si>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</si>
  <si>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</si>
  <si>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</si>
  <si>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</si>
  <si>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</si>
  <si>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</si>
  <si>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</si>
  <si>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</si>
  <si>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</si>
  <si>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</si>
  <si>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</si>
  <si>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</si>
  <si>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</si>
  <si>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</si>
  <si>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</si>
  <si>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</si>
  <si>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</si>
  <si>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</si>
  <si>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</si>
  <si>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</si>
  <si>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</si>
  <si>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</si>
  <si>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</si>
  <si>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</si>
  <si>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</si>
  <si>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</si>
  <si>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</si>
  <si>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</si>
  <si>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</si>
  <si>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</si>
  <si>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</si>
  <si>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</si>
  <si>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</si>
  <si>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</si>
  <si>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</si>
  <si>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</si>
  <si>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</si>
  <si>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</si>
  <si>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</si>
  <si>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</si>
  <si>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</si>
  <si>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</si>
  <si>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</si>
  <si>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</si>
  <si>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</si>
  <si>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</si>
  <si>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</si>
  <si>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</si>
  <si>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</si>
  <si>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</si>
  <si>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</si>
  <si>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</si>
  <si>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</si>
  <si>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</si>
  <si>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</si>
  <si>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</si>
  <si>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</si>
  <si>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</si>
  <si>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</si>
  <si>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</si>
  <si>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</si>
  <si>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</si>
  <si>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</si>
  <si>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</si>
  <si>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</si>
  <si>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</si>
  <si>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</si>
  <si>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</si>
  <si>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</si>
  <si>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</si>
  <si>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</si>
  <si>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</si>
  <si>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</si>
  <si>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</si>
  <si>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</si>
  <si>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</si>
  <si>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</si>
  <si>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</si>
  <si>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</si>
  <si>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</si>
  <si>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</si>
  <si>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</si>
  <si>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</si>
  <si>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</si>
  <si>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</si>
  <si>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</si>
  <si>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</si>
  <si>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</si>
  <si>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</si>
  <si>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</si>
  <si>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</si>
  <si>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</si>
  <si>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</si>
  <si>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</si>
  <si>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</si>
  <si>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</si>
  <si>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</si>
  <si>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</si>
  <si>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</si>
  <si>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</si>
  <si>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</si>
  <si>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</si>
  <si>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</si>
  <si>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</si>
  <si>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</si>
  <si>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</si>
  <si>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</si>
  <si>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</si>
  <si>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</si>
  <si>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</si>
  <si>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</si>
  <si>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</si>
  <si>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</si>
  <si>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</si>
  <si>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</si>
  <si>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</si>
  <si>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</si>
  <si>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</si>
  <si>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</si>
  <si>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</si>
  <si>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</si>
  <si>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</si>
  <si>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</si>
  <si>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</si>
  <si>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</si>
  <si>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</si>
  <si>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</si>
  <si>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</si>
  <si>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</si>
  <si>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</si>
  <si>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</si>
  <si>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</si>
  <si>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</si>
  <si>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</si>
  <si>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</si>
  <si>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</si>
  <si>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</si>
  <si>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</si>
  <si>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</si>
  <si>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</si>
  <si>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</si>
  <si>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</si>
  <si>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</si>
  <si>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</si>
  <si>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</si>
  <si>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</si>
  <si>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</si>
  <si>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</si>
  <si>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</si>
  <si>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</si>
  <si>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</si>
  <si>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</si>
  <si>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</si>
  <si>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</si>
  <si>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</si>
  <si>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</si>
  <si>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</si>
  <si>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</si>
  <si>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</si>
  <si>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</si>
  <si>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</si>
  <si>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</si>
  <si>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</si>
  <si>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</si>
  <si>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</si>
  <si>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</si>
  <si>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</si>
  <si>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</si>
  <si>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</si>
  <si>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</si>
  <si>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</si>
  <si>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</si>
  <si>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</si>
  <si>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</si>
  <si>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</si>
  <si>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</si>
  <si>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</si>
  <si>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</si>
  <si>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</si>
  <si>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</si>
  <si>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</si>
  <si>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</si>
  <si>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</si>
  <si>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</si>
  <si>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</si>
  <si>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</si>
  <si>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</si>
  <si>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</si>
  <si>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</si>
  <si>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</si>
  <si>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</si>
  <si>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</si>
  <si>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</si>
  <si>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</si>
  <si>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</si>
  <si>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</si>
  <si>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</si>
  <si>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</si>
  <si>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</si>
  <si>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</si>
  <si>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</si>
  <si>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</si>
  <si>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</si>
  <si>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</si>
  <si>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</si>
  <si>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</si>
  <si>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</si>
  <si>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</si>
  <si>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</si>
  <si>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</si>
  <si>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</si>
  <si>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</si>
  <si>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</si>
  <si>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</si>
  <si>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</si>
  <si>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</si>
  <si>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</si>
  <si>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</si>
  <si>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</si>
  <si>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</si>
  <si>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</si>
  <si>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</si>
  <si>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</si>
  <si>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</si>
  <si>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</si>
  <si>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</si>
  <si>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</si>
  <si>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</si>
  <si>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</si>
  <si>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</si>
  <si>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</si>
  <si>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</si>
  <si>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</si>
  <si>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</si>
  <si>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</si>
  <si>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</si>
  <si>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</si>
  <si>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</si>
  <si>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</si>
  <si>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</si>
  <si>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</si>
  <si>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</si>
  <si>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</si>
  <si>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</si>
  <si>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</si>
  <si>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</si>
  <si>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</si>
  <si>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</si>
  <si>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</si>
  <si>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</si>
  <si>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</si>
  <si>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</si>
  <si>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</si>
  <si>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</si>
  <si>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</si>
  <si>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</si>
  <si>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</si>
  <si>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</si>
  <si>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</si>
  <si>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</si>
  <si>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</si>
  <si>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</si>
  <si>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</si>
  <si>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</si>
  <si>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</si>
  <si>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</si>
  <si>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</si>
  <si>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</si>
  <si>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</si>
  <si>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</si>
  <si>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</si>
  <si>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</si>
  <si>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</si>
  <si>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</si>
  <si>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</si>
  <si>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</si>
  <si>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</si>
  <si>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</si>
  <si>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</si>
  <si>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</si>
  <si>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</si>
  <si>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</si>
  <si>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</si>
  <si>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</si>
  <si>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</si>
  <si>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</si>
  <si>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</si>
  <si>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</si>
  <si>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</si>
  <si>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</si>
  <si>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</si>
  <si>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</si>
  <si>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</si>
  <si>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</si>
  <si>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</si>
  <si>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</si>
  <si>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</si>
  <si>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</si>
  <si>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</si>
  <si>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</si>
  <si>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</si>
  <si>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</si>
  <si>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</si>
  <si>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</si>
  <si>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</si>
  <si>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</si>
  <si>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</si>
  <si>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</si>
  <si>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</si>
  <si>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</si>
  <si>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</si>
  <si>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</si>
  <si>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</si>
  <si>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</si>
  <si>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</si>
  <si>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</si>
  <si>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</si>
  <si>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</si>
  <si>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</si>
  <si>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</si>
  <si>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</si>
  <si>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</si>
  <si>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</si>
  <si>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</si>
  <si>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</si>
  <si>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</si>
  <si>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</si>
  <si>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</si>
  <si>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</si>
  <si>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</si>
  <si>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</si>
  <si>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</si>
  <si>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</si>
  <si>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</si>
  <si>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</si>
  <si>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</si>
  <si>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</si>
  <si>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</si>
  <si>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</si>
  <si>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</si>
  <si>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</si>
  <si>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</si>
  <si>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</si>
  <si>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</si>
  <si>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</si>
  <si>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</si>
  <si>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</si>
  <si>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</si>
  <si>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</si>
  <si>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</si>
  <si>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</si>
  <si>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</si>
  <si>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</si>
  <si>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</si>
  <si>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</si>
  <si>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</si>
  <si>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</si>
  <si>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</si>
  <si>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</si>
  <si>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</si>
  <si>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</si>
  <si>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</si>
  <si>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</si>
  <si>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</si>
  <si>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</si>
  <si>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</si>
  <si>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</si>
  <si>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</si>
  <si>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</si>
  <si>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</si>
  <si>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</si>
  <si>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</si>
  <si>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</si>
  <si>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</si>
  <si>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</si>
  <si>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</si>
  <si>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</si>
  <si>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</si>
  <si>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</si>
  <si>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</si>
  <si>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</si>
  <si>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</si>
  <si>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</si>
  <si>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</si>
  <si>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</si>
  <si>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</si>
  <si>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</si>
  <si>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</si>
  <si>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</si>
  <si>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</si>
  <si>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</si>
  <si>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</si>
  <si>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</si>
  <si>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</si>
  <si>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</si>
  <si>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</si>
  <si>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</si>
  <si>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</si>
  <si>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</si>
  <si>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</si>
  <si>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</si>
  <si>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</si>
  <si>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</si>
  <si>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</si>
  <si>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</si>
  <si>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</si>
  <si>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</si>
  <si>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</si>
  <si>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</si>
  <si>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</si>
  <si>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</si>
  <si>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</si>
  <si>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</si>
  <si>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</si>
  <si>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</si>
  <si>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</si>
  <si>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</si>
  <si>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</si>
  <si>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</si>
  <si>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</si>
  <si>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</si>
  <si>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</si>
  <si>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</si>
  <si>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</si>
  <si>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</si>
  <si>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</si>
  <si>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</si>
  <si>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</si>
  <si>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</si>
  <si>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</si>
  <si>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</si>
  <si>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</si>
  <si>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</si>
  <si>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</si>
  <si>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</si>
  <si>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</si>
  <si>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</si>
  <si>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</si>
  <si>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</si>
  <si>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</si>
  <si>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</si>
  <si>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</si>
  <si>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</si>
  <si>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</si>
  <si>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</si>
  <si>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</si>
  <si>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</si>
  <si>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</si>
  <si>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</si>
  <si>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</si>
  <si>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</si>
  <si>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</si>
  <si>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</si>
  <si>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</si>
  <si>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</si>
  <si>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</si>
  <si>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</si>
  <si>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</si>
  <si>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</si>
  <si>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</si>
  <si>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</si>
  <si>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</si>
  <si>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</si>
  <si>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</si>
  <si>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</si>
  <si>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</si>
  <si>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</si>
  <si>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</si>
  <si>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</si>
  <si>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</si>
  <si>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</si>
  <si>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</si>
  <si>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</si>
  <si>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</si>
  <si>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</si>
  <si>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</si>
  <si>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</si>
  <si>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</si>
  <si>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</si>
  <si>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</si>
  <si>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</si>
  <si>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</si>
  <si>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</si>
  <si>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</si>
  <si>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</si>
  <si>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</si>
  <si>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</si>
  <si>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</si>
  <si>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</si>
  <si>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</si>
  <si>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</si>
  <si>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</si>
  <si>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</si>
  <si>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</si>
  <si>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</si>
  <si>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</si>
  <si>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</si>
  <si>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</si>
  <si>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</si>
  <si>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</si>
  <si>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</si>
  <si>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</si>
  <si>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</si>
  <si>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</si>
  <si>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</si>
  <si>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</si>
  <si>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</si>
  <si>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</si>
  <si>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</si>
  <si>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</si>
  <si>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</si>
  <si>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</si>
  <si>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</si>
  <si>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</si>
  <si>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</si>
  <si>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</si>
  <si>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</si>
  <si>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</si>
  <si>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</si>
  <si>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</si>
  <si>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</si>
  <si>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</si>
  <si>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</si>
  <si>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</si>
  <si>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</si>
  <si>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</si>
  <si>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</si>
  <si>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</si>
  <si>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</si>
  <si>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</si>
  <si>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</si>
  <si>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</si>
  <si>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</si>
  <si>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</si>
  <si>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</si>
  <si>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</si>
  <si>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</si>
  <si>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</si>
  <si>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</si>
  <si>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</si>
  <si>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</si>
  <si>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</si>
  <si>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</si>
  <si>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</si>
  <si>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</si>
  <si>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</si>
  <si>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</si>
  <si>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</si>
  <si>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</si>
  <si>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</si>
  <si>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</si>
  <si>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</si>
  <si>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</si>
  <si>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</si>
  <si>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</si>
  <si>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</si>
  <si>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</si>
  <si>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</si>
  <si>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</si>
  <si>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</si>
  <si>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</si>
  <si>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</si>
  <si>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</si>
  <si>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</si>
  <si>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</si>
  <si>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</si>
  <si>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</si>
  <si>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</si>
  <si>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</si>
  <si>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</si>
  <si>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</si>
  <si>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</si>
  <si>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</si>
  <si>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</si>
  <si>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</si>
  <si>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</si>
  <si>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</si>
  <si>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</si>
  <si>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</si>
  <si>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</si>
  <si>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</si>
  <si>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</si>
  <si>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</si>
  <si>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</si>
  <si>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</si>
  <si>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</si>
  <si>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</si>
  <si>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</si>
  <si>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</si>
  <si>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</si>
  <si>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</si>
  <si>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</si>
  <si>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</si>
  <si>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</si>
  <si>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</si>
  <si>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</si>
  <si>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</si>
  <si>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</si>
  <si>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</si>
  <si>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</si>
  <si>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</si>
  <si>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</si>
  <si>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</si>
  <si>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</si>
  <si>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</si>
  <si>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</si>
  <si>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</si>
  <si>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</si>
  <si>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</si>
  <si>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</si>
  <si>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</si>
  <si>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</si>
  <si>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</si>
  <si>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</si>
  <si>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</si>
  <si>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</si>
  <si>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</si>
  <si>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</si>
  <si>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</si>
  <si>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</si>
  <si>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</si>
  <si>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</si>
  <si>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</si>
  <si>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</si>
  <si>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</si>
  <si>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</si>
  <si>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</si>
  <si>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</si>
  <si>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</si>
  <si>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</si>
  <si>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</si>
  <si>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</si>
  <si>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</si>
  <si>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</si>
  <si>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</si>
  <si>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</si>
  <si>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</si>
  <si>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</si>
  <si>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</si>
  <si>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</si>
  <si>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</si>
  <si>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</si>
  <si>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</si>
  <si>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</si>
  <si>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</si>
  <si>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</si>
  <si>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</si>
  <si>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</si>
  <si>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</si>
  <si>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</si>
  <si>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</si>
  <si>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</si>
  <si>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</si>
  <si>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</si>
  <si>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</si>
  <si>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</si>
  <si>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</si>
  <si>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</si>
  <si>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</si>
  <si>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</si>
  <si>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</si>
  <si>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</si>
  <si>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</si>
  <si>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</si>
  <si>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</si>
  <si>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</si>
  <si>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</si>
  <si>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</si>
  <si>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</si>
  <si>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</si>
  <si>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</si>
  <si>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</si>
  <si>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</si>
  <si>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</si>
  <si>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</si>
  <si>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</si>
  <si>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</si>
  <si>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</si>
  <si>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</si>
  <si>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</si>
  <si>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</si>
  <si>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</si>
  <si>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</si>
  <si>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</si>
  <si>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</si>
  <si>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</si>
  <si>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</si>
  <si>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</si>
  <si>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</si>
  <si>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</si>
  <si>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</si>
  <si>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</si>
  <si>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</si>
  <si>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</si>
  <si>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</si>
  <si>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</si>
  <si>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</si>
  <si>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</si>
  <si>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</si>
  <si>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</si>
  <si>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</si>
  <si>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</si>
  <si>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</si>
  <si>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</si>
  <si>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</si>
  <si>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</si>
  <si>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</si>
  <si>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</si>
  <si>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</si>
  <si>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</si>
  <si>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</si>
  <si>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</si>
  <si>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</si>
  <si>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</si>
  <si>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</si>
  <si>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</si>
  <si>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</si>
  <si>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</si>
  <si>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</si>
  <si>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</si>
  <si>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</si>
  <si>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</si>
  <si>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</si>
  <si>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</si>
  <si>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</si>
  <si>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</si>
  <si>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</si>
  <si>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</si>
  <si>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</si>
  <si>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</si>
  <si>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</si>
  <si>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</si>
  <si>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</si>
  <si>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</si>
  <si>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</si>
  <si>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</si>
  <si>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</si>
  <si>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</si>
  <si>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</si>
  <si>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</si>
  <si>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</si>
  <si>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</si>
  <si>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</si>
  <si>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</si>
  <si>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</si>
  <si>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</si>
  <si>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</si>
  <si>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</si>
  <si>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</si>
  <si>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</si>
  <si>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</si>
  <si>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</si>
  <si>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</si>
  <si>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</si>
  <si>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</si>
  <si>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</si>
  <si>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</si>
  <si>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</si>
  <si>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</si>
  <si>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</si>
  <si>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</si>
  <si>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</si>
  <si>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</si>
  <si>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</si>
  <si>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</si>
  <si>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</si>
  <si>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</si>
  <si>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</si>
  <si>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</si>
  <si>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</si>
  <si>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</si>
  <si>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</si>
  <si>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</si>
  <si>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</si>
  <si>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</si>
  <si>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</si>
  <si>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</si>
  <si>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</si>
  <si>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</si>
  <si>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</si>
  <si>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</si>
  <si>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</si>
  <si>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</si>
  <si>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</si>
  <si>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</si>
  <si>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</si>
  <si>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</si>
  <si>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</si>
  <si>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</si>
  <si>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</si>
  <si>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</si>
  <si>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</si>
  <si>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</si>
  <si>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</si>
  <si>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</si>
  <si>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</si>
  <si>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</si>
  <si>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</si>
  <si>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</si>
  <si>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</si>
  <si>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</si>
  <si>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</si>
  <si>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</si>
  <si>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</si>
  <si>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</si>
  <si>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</si>
  <si>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</si>
  <si>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</si>
  <si>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</si>
  <si>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</si>
  <si>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</si>
  <si>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</si>
  <si>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</si>
  <si>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</si>
  <si>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</si>
  <si>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</si>
  <si>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</si>
  <si>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13025</t>
  </si>
  <si>
    <t>MOL</t>
  </si>
  <si>
    <t>Paarden&amp;pony's 200 - 600 kg</t>
  </si>
  <si>
    <t>Paarden&amp;pony's &lt; 200 kg</t>
  </si>
  <si>
    <t>Fluvius</t>
  </si>
  <si>
    <t>referentietaak LNE (2017); Jaarverslag De Lijn</t>
  </si>
  <si>
    <t>Jan Van den Brande</t>
  </si>
  <si>
    <t>Diepestraat 137 , 2400 Mol</t>
  </si>
  <si>
    <t>WKK-0623 Jan Van den Brande</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</si>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</sst>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295768.91558144218</c:v>
                </c:pt>
                <c:pt idx="1">
                  <c:v>194705.46790870541</c:v>
                </c:pt>
                <c:pt idx="2">
                  <c:v>1412.634</c:v>
                </c:pt>
                <c:pt idx="3">
                  <c:v>4870.8160051372433</c:v>
                </c:pt>
                <c:pt idx="4">
                  <c:v>104074.43250742112</c:v>
                </c:pt>
                <c:pt idx="5">
                  <c:v>257543.29918600988</c:v>
                </c:pt>
                <c:pt idx="6">
                  <c:v>2908.6149649502845</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295768.91558144218</c:v>
                </c:pt>
                <c:pt idx="1">
                  <c:v>194705.46790870541</c:v>
                </c:pt>
                <c:pt idx="2">
                  <c:v>1412.634</c:v>
                </c:pt>
                <c:pt idx="3">
                  <c:v>4870.8160051372433</c:v>
                </c:pt>
                <c:pt idx="4">
                  <c:v>104074.43250742112</c:v>
                </c:pt>
                <c:pt idx="5">
                  <c:v>257543.29918600988</c:v>
                </c:pt>
                <c:pt idx="6">
                  <c:v>2908.6149649502845</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57642.083122814794</c:v>
                </c:pt>
                <c:pt idx="2">
                  <c:v>39326.728458592937</c:v>
                </c:pt>
                <c:pt idx="3">
                  <c:v>293.86107052912377</c:v>
                </c:pt>
                <c:pt idx="4">
                  <c:v>1233.3779239190394</c:v>
                </c:pt>
                <c:pt idx="5">
                  <c:v>21951.653874750955</c:v>
                </c:pt>
                <c:pt idx="6">
                  <c:v>64594.330855910928</c:v>
                </c:pt>
                <c:pt idx="7">
                  <c:v>734.61200914345409</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57642.083122814794</c:v>
                </c:pt>
                <c:pt idx="2">
                  <c:v>39326.728458592937</c:v>
                </c:pt>
                <c:pt idx="3">
                  <c:v>293.86107052912377</c:v>
                </c:pt>
                <c:pt idx="4">
                  <c:v>1233.3779239190394</c:v>
                </c:pt>
                <c:pt idx="5">
                  <c:v>21951.653874750955</c:v>
                </c:pt>
                <c:pt idx="6">
                  <c:v>64594.330855910928</c:v>
                </c:pt>
                <c:pt idx="7">
                  <c:v>734.61200914345409</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13025</v>
      </c>
      <c r="B6" s="391"/>
      <c r="C6" s="392"/>
    </row>
    <row r="7" spans="1:7" s="389" customFormat="1" ht="15.75" customHeight="1">
      <c r="A7" s="393" t="str">
        <f>txtMunicipality</f>
        <v>MOL</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0.20802350115396043</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0.20802350115396043</v>
      </c>
      <c r="C29" s="500">
        <f ca="1">'EF ele_warmte'!B22</f>
        <v>0.23764705882352943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14984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3183</v>
      </c>
      <c r="C14" s="330"/>
      <c r="D14" s="330"/>
      <c r="E14" s="330"/>
      <c r="F14" s="330"/>
    </row>
    <row r="15" spans="1:6">
      <c r="A15" s="1305" t="s">
        <v>183</v>
      </c>
      <c r="B15" s="1306">
        <v>126</v>
      </c>
      <c r="C15" s="330"/>
      <c r="D15" s="330"/>
      <c r="E15" s="330"/>
      <c r="F15" s="330"/>
    </row>
    <row r="16" spans="1:6">
      <c r="A16" s="1305" t="s">
        <v>6</v>
      </c>
      <c r="B16" s="1306">
        <v>1039</v>
      </c>
      <c r="C16" s="330"/>
      <c r="D16" s="330"/>
      <c r="E16" s="330"/>
      <c r="F16" s="330"/>
    </row>
    <row r="17" spans="1:6">
      <c r="A17" s="1305" t="s">
        <v>7</v>
      </c>
      <c r="B17" s="1306">
        <v>259</v>
      </c>
      <c r="C17" s="330"/>
      <c r="D17" s="330"/>
      <c r="E17" s="330"/>
      <c r="F17" s="330"/>
    </row>
    <row r="18" spans="1:6">
      <c r="A18" s="1305" t="s">
        <v>8</v>
      </c>
      <c r="B18" s="1306">
        <v>783</v>
      </c>
      <c r="C18" s="330"/>
      <c r="D18" s="330"/>
      <c r="E18" s="330"/>
      <c r="F18" s="330"/>
    </row>
    <row r="19" spans="1:6">
      <c r="A19" s="1305" t="s">
        <v>9</v>
      </c>
      <c r="B19" s="1306">
        <v>779</v>
      </c>
      <c r="C19" s="330"/>
      <c r="D19" s="330"/>
      <c r="E19" s="330"/>
      <c r="F19" s="330"/>
    </row>
    <row r="20" spans="1:6">
      <c r="A20" s="1305" t="s">
        <v>10</v>
      </c>
      <c r="B20" s="1306">
        <v>269</v>
      </c>
      <c r="C20" s="330"/>
      <c r="D20" s="330"/>
      <c r="E20" s="330"/>
      <c r="F20" s="330"/>
    </row>
    <row r="21" spans="1:6">
      <c r="A21" s="1305" t="s">
        <v>11</v>
      </c>
      <c r="B21" s="1306">
        <v>678</v>
      </c>
      <c r="C21" s="330"/>
      <c r="D21" s="330"/>
      <c r="E21" s="330"/>
      <c r="F21" s="330"/>
    </row>
    <row r="22" spans="1:6">
      <c r="A22" s="1305" t="s">
        <v>12</v>
      </c>
      <c r="B22" s="1306">
        <v>2728</v>
      </c>
      <c r="C22" s="330"/>
      <c r="D22" s="330"/>
      <c r="E22" s="330"/>
      <c r="F22" s="330"/>
    </row>
    <row r="23" spans="1:6">
      <c r="A23" s="1305" t="s">
        <v>13</v>
      </c>
      <c r="B23" s="1306">
        <v>35</v>
      </c>
      <c r="C23" s="330"/>
      <c r="D23" s="330"/>
      <c r="E23" s="330"/>
      <c r="F23" s="330"/>
    </row>
    <row r="24" spans="1:6">
      <c r="A24" s="1305" t="s">
        <v>14</v>
      </c>
      <c r="B24" s="1306">
        <v>1</v>
      </c>
      <c r="C24" s="330"/>
      <c r="D24" s="330"/>
      <c r="E24" s="330"/>
      <c r="F24" s="330"/>
    </row>
    <row r="25" spans="1:6">
      <c r="A25" s="1305" t="s">
        <v>15</v>
      </c>
      <c r="B25" s="1306">
        <v>230</v>
      </c>
      <c r="C25" s="330"/>
      <c r="D25" s="330"/>
      <c r="E25" s="330"/>
      <c r="F25" s="330"/>
    </row>
    <row r="26" spans="1:6">
      <c r="A26" s="1305" t="s">
        <v>16</v>
      </c>
      <c r="B26" s="1306">
        <v>823</v>
      </c>
      <c r="C26" s="330"/>
      <c r="D26" s="330"/>
      <c r="E26" s="330"/>
      <c r="F26" s="330"/>
    </row>
    <row r="27" spans="1:6">
      <c r="A27" s="1305" t="s">
        <v>17</v>
      </c>
      <c r="B27" s="1306">
        <v>0</v>
      </c>
      <c r="C27" s="330"/>
      <c r="D27" s="330"/>
      <c r="E27" s="330"/>
      <c r="F27" s="330"/>
    </row>
    <row r="28" spans="1:6" s="43" customFormat="1">
      <c r="A28" s="1307" t="s">
        <v>18</v>
      </c>
      <c r="B28" s="1308">
        <v>55833</v>
      </c>
      <c r="C28" s="336"/>
      <c r="D28" s="336"/>
      <c r="E28" s="336"/>
      <c r="F28" s="336"/>
    </row>
    <row r="29" spans="1:6">
      <c r="A29" s="1307" t="s">
        <v>909</v>
      </c>
      <c r="B29" s="1308">
        <v>107</v>
      </c>
      <c r="C29" s="336"/>
      <c r="D29" s="336"/>
      <c r="E29" s="336"/>
      <c r="F29" s="336"/>
    </row>
    <row r="30" spans="1:6">
      <c r="A30" s="1300" t="s">
        <v>910</v>
      </c>
      <c r="B30" s="1309">
        <v>11</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4</v>
      </c>
      <c r="F35" s="1306">
        <v>28288.86</v>
      </c>
    </row>
    <row r="36" spans="1:6">
      <c r="A36" s="1305" t="s">
        <v>24</v>
      </c>
      <c r="B36" s="1305" t="s">
        <v>26</v>
      </c>
      <c r="C36" s="1306">
        <v>0</v>
      </c>
      <c r="D36" s="1306">
        <v>0</v>
      </c>
      <c r="E36" s="1306">
        <v>3</v>
      </c>
      <c r="F36" s="1306">
        <v>12503.53</v>
      </c>
    </row>
    <row r="37" spans="1:6">
      <c r="A37" s="1305" t="s">
        <v>24</v>
      </c>
      <c r="B37" s="1305" t="s">
        <v>27</v>
      </c>
      <c r="C37" s="1306">
        <v>0</v>
      </c>
      <c r="D37" s="1306">
        <v>0</v>
      </c>
      <c r="E37" s="1306">
        <v>0</v>
      </c>
      <c r="F37" s="1306">
        <v>0</v>
      </c>
    </row>
    <row r="38" spans="1:6">
      <c r="A38" s="1305" t="s">
        <v>24</v>
      </c>
      <c r="B38" s="1305" t="s">
        <v>28</v>
      </c>
      <c r="C38" s="1306">
        <v>2</v>
      </c>
      <c r="D38" s="1306">
        <v>427236.23943443398</v>
      </c>
      <c r="E38" s="1306">
        <v>3</v>
      </c>
      <c r="F38" s="1306">
        <v>15087.23</v>
      </c>
    </row>
    <row r="39" spans="1:6">
      <c r="A39" s="1305" t="s">
        <v>29</v>
      </c>
      <c r="B39" s="1305" t="s">
        <v>30</v>
      </c>
      <c r="C39" s="1306">
        <v>8865</v>
      </c>
      <c r="D39" s="1306">
        <v>127981684.970965</v>
      </c>
      <c r="E39" s="1306">
        <v>14759</v>
      </c>
      <c r="F39" s="1306">
        <v>54051734</v>
      </c>
    </row>
    <row r="40" spans="1:6">
      <c r="A40" s="1305" t="s">
        <v>29</v>
      </c>
      <c r="B40" s="1305" t="s">
        <v>28</v>
      </c>
      <c r="C40" s="1306">
        <v>0</v>
      </c>
      <c r="D40" s="1306">
        <v>0</v>
      </c>
      <c r="E40" s="1306">
        <v>1</v>
      </c>
      <c r="F40" s="1306">
        <v>16453</v>
      </c>
    </row>
    <row r="41" spans="1:6">
      <c r="A41" s="1305" t="s">
        <v>31</v>
      </c>
      <c r="B41" s="1305" t="s">
        <v>32</v>
      </c>
      <c r="C41" s="1306">
        <v>131</v>
      </c>
      <c r="D41" s="1306">
        <v>8578671.0100491308</v>
      </c>
      <c r="E41" s="1306">
        <v>274</v>
      </c>
      <c r="F41" s="1306">
        <v>4828465</v>
      </c>
    </row>
    <row r="42" spans="1:6">
      <c r="A42" s="1305" t="s">
        <v>31</v>
      </c>
      <c r="B42" s="1305" t="s">
        <v>33</v>
      </c>
      <c r="C42" s="1306">
        <v>0</v>
      </c>
      <c r="D42" s="1306">
        <v>0</v>
      </c>
      <c r="E42" s="1306">
        <v>3</v>
      </c>
      <c r="F42" s="1306">
        <v>9592.9009999999998</v>
      </c>
    </row>
    <row r="43" spans="1:6">
      <c r="A43" s="1305" t="s">
        <v>31</v>
      </c>
      <c r="B43" s="1305" t="s">
        <v>34</v>
      </c>
      <c r="C43" s="1306">
        <v>0</v>
      </c>
      <c r="D43" s="1306">
        <v>0</v>
      </c>
      <c r="E43" s="1306">
        <v>0</v>
      </c>
      <c r="F43" s="1306">
        <v>0</v>
      </c>
    </row>
    <row r="44" spans="1:6">
      <c r="A44" s="1305" t="s">
        <v>31</v>
      </c>
      <c r="B44" s="1305" t="s">
        <v>35</v>
      </c>
      <c r="C44" s="1306">
        <v>3</v>
      </c>
      <c r="D44" s="1306">
        <v>1386172.34866628</v>
      </c>
      <c r="E44" s="1306">
        <v>34</v>
      </c>
      <c r="F44" s="1306">
        <v>2263975</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3</v>
      </c>
      <c r="D47" s="1306">
        <v>73804.672169807396</v>
      </c>
      <c r="E47" s="1306">
        <v>4</v>
      </c>
      <c r="F47" s="1306">
        <v>122557.1</v>
      </c>
    </row>
    <row r="48" spans="1:6">
      <c r="A48" s="1305" t="s">
        <v>31</v>
      </c>
      <c r="B48" s="1305" t="s">
        <v>28</v>
      </c>
      <c r="C48" s="1306">
        <v>30</v>
      </c>
      <c r="D48" s="1306">
        <v>7296355.60327294</v>
      </c>
      <c r="E48" s="1306">
        <v>45</v>
      </c>
      <c r="F48" s="1306">
        <v>53231866</v>
      </c>
    </row>
    <row r="49" spans="1:6">
      <c r="A49" s="1305" t="s">
        <v>31</v>
      </c>
      <c r="B49" s="1305" t="s">
        <v>39</v>
      </c>
      <c r="C49" s="1306">
        <v>0</v>
      </c>
      <c r="D49" s="1306">
        <v>0</v>
      </c>
      <c r="E49" s="1306">
        <v>0</v>
      </c>
      <c r="F49" s="1306">
        <v>0</v>
      </c>
    </row>
    <row r="50" spans="1:6">
      <c r="A50" s="1305" t="s">
        <v>31</v>
      </c>
      <c r="B50" s="1305" t="s">
        <v>40</v>
      </c>
      <c r="C50" s="1306">
        <v>6</v>
      </c>
      <c r="D50" s="1306">
        <v>635881.13238248206</v>
      </c>
      <c r="E50" s="1306">
        <v>22</v>
      </c>
      <c r="F50" s="1306">
        <v>894584.3</v>
      </c>
    </row>
    <row r="51" spans="1:6">
      <c r="A51" s="1305" t="s">
        <v>41</v>
      </c>
      <c r="B51" s="1305" t="s">
        <v>42</v>
      </c>
      <c r="C51" s="1306">
        <v>0</v>
      </c>
      <c r="D51" s="1306">
        <v>0</v>
      </c>
      <c r="E51" s="1306">
        <v>42</v>
      </c>
      <c r="F51" s="1306">
        <v>915929.2</v>
      </c>
    </row>
    <row r="52" spans="1:6">
      <c r="A52" s="1305" t="s">
        <v>41</v>
      </c>
      <c r="B52" s="1305" t="s">
        <v>28</v>
      </c>
      <c r="C52" s="1306">
        <v>8</v>
      </c>
      <c r="D52" s="1306">
        <v>138321.55714009999</v>
      </c>
      <c r="E52" s="1306">
        <v>8</v>
      </c>
      <c r="F52" s="1306">
        <v>366868.8</v>
      </c>
    </row>
    <row r="53" spans="1:6">
      <c r="A53" s="1305" t="s">
        <v>43</v>
      </c>
      <c r="B53" s="1305" t="s">
        <v>44</v>
      </c>
      <c r="C53" s="1306">
        <v>209</v>
      </c>
      <c r="D53" s="1306">
        <v>6309221.0124709802</v>
      </c>
      <c r="E53" s="1306">
        <v>631</v>
      </c>
      <c r="F53" s="1306">
        <v>3887699</v>
      </c>
    </row>
    <row r="54" spans="1:6">
      <c r="A54" s="1305" t="s">
        <v>45</v>
      </c>
      <c r="B54" s="1305" t="s">
        <v>46</v>
      </c>
      <c r="C54" s="1306">
        <v>0</v>
      </c>
      <c r="D54" s="1306">
        <v>0</v>
      </c>
      <c r="E54" s="1306">
        <v>1</v>
      </c>
      <c r="F54" s="1306">
        <v>1412634</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71</v>
      </c>
      <c r="D57" s="1306">
        <v>3887756.3962256899</v>
      </c>
      <c r="E57" s="1306">
        <v>178</v>
      </c>
      <c r="F57" s="1306">
        <v>7548707</v>
      </c>
    </row>
    <row r="58" spans="1:6">
      <c r="A58" s="1305" t="s">
        <v>48</v>
      </c>
      <c r="B58" s="1305" t="s">
        <v>50</v>
      </c>
      <c r="C58" s="1306">
        <v>71</v>
      </c>
      <c r="D58" s="1306">
        <v>6879815.2304944303</v>
      </c>
      <c r="E58" s="1306">
        <v>97</v>
      </c>
      <c r="F58" s="1306">
        <v>1672496</v>
      </c>
    </row>
    <row r="59" spans="1:6">
      <c r="A59" s="1305" t="s">
        <v>48</v>
      </c>
      <c r="B59" s="1305" t="s">
        <v>51</v>
      </c>
      <c r="C59" s="1306">
        <v>250</v>
      </c>
      <c r="D59" s="1306">
        <v>9444067.9890294094</v>
      </c>
      <c r="E59" s="1306">
        <v>495</v>
      </c>
      <c r="F59" s="1306">
        <v>14320964</v>
      </c>
    </row>
    <row r="60" spans="1:6">
      <c r="A60" s="1305" t="s">
        <v>48</v>
      </c>
      <c r="B60" s="1305" t="s">
        <v>52</v>
      </c>
      <c r="C60" s="1306">
        <v>144</v>
      </c>
      <c r="D60" s="1306">
        <v>22118571.5164699</v>
      </c>
      <c r="E60" s="1306">
        <v>216</v>
      </c>
      <c r="F60" s="1306">
        <v>9299490</v>
      </c>
    </row>
    <row r="61" spans="1:6">
      <c r="A61" s="1305" t="s">
        <v>48</v>
      </c>
      <c r="B61" s="1305" t="s">
        <v>53</v>
      </c>
      <c r="C61" s="1306">
        <v>212</v>
      </c>
      <c r="D61" s="1306">
        <v>53827986.499359801</v>
      </c>
      <c r="E61" s="1306">
        <v>442</v>
      </c>
      <c r="F61" s="1306">
        <v>39477096</v>
      </c>
    </row>
    <row r="62" spans="1:6">
      <c r="A62" s="1305" t="s">
        <v>48</v>
      </c>
      <c r="B62" s="1305" t="s">
        <v>54</v>
      </c>
      <c r="C62" s="1306">
        <v>24</v>
      </c>
      <c r="D62" s="1306">
        <v>3168456.5612699199</v>
      </c>
      <c r="E62" s="1306">
        <v>39</v>
      </c>
      <c r="F62" s="1306">
        <v>3096086</v>
      </c>
    </row>
    <row r="63" spans="1:6">
      <c r="A63" s="1305" t="s">
        <v>48</v>
      </c>
      <c r="B63" s="1305" t="s">
        <v>28</v>
      </c>
      <c r="C63" s="1306">
        <v>98</v>
      </c>
      <c r="D63" s="1306">
        <v>3853538.01581976</v>
      </c>
      <c r="E63" s="1306">
        <v>95</v>
      </c>
      <c r="F63" s="1306">
        <v>6978661</v>
      </c>
    </row>
    <row r="64" spans="1:6">
      <c r="A64" s="1305" t="s">
        <v>55</v>
      </c>
      <c r="B64" s="1305" t="s">
        <v>56</v>
      </c>
      <c r="C64" s="1306">
        <v>0</v>
      </c>
      <c r="D64" s="1306">
        <v>0</v>
      </c>
      <c r="E64" s="1306">
        <v>0</v>
      </c>
      <c r="F64" s="1306">
        <v>0</v>
      </c>
    </row>
    <row r="65" spans="1:6">
      <c r="A65" s="1305" t="s">
        <v>55</v>
      </c>
      <c r="B65" s="1305" t="s">
        <v>28</v>
      </c>
      <c r="C65" s="1306">
        <v>2</v>
      </c>
      <c r="D65" s="1306">
        <v>234991.39886432499</v>
      </c>
      <c r="E65" s="1306">
        <v>1</v>
      </c>
      <c r="F65" s="1306">
        <v>4868.3519999999999</v>
      </c>
    </row>
    <row r="66" spans="1:6">
      <c r="A66" s="1305" t="s">
        <v>55</v>
      </c>
      <c r="B66" s="1305" t="s">
        <v>57</v>
      </c>
      <c r="C66" s="1306">
        <v>0</v>
      </c>
      <c r="D66" s="1306">
        <v>0</v>
      </c>
      <c r="E66" s="1306">
        <v>12</v>
      </c>
      <c r="F66" s="1306">
        <v>222785</v>
      </c>
    </row>
    <row r="67" spans="1:6">
      <c r="A67" s="1307" t="s">
        <v>55</v>
      </c>
      <c r="B67" s="1307" t="s">
        <v>58</v>
      </c>
      <c r="C67" s="1306">
        <v>0</v>
      </c>
      <c r="D67" s="1306">
        <v>0</v>
      </c>
      <c r="E67" s="1306">
        <v>0</v>
      </c>
      <c r="F67" s="1306">
        <v>0</v>
      </c>
    </row>
    <row r="68" spans="1:6">
      <c r="A68" s="1300" t="s">
        <v>55</v>
      </c>
      <c r="B68" s="1300" t="s">
        <v>59</v>
      </c>
      <c r="C68" s="1309">
        <v>7</v>
      </c>
      <c r="D68" s="1309">
        <v>193307.60466360199</v>
      </c>
      <c r="E68" s="1309">
        <v>20</v>
      </c>
      <c r="F68" s="1309">
        <v>776818.5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161349050</v>
      </c>
      <c r="E73" s="450"/>
      <c r="F73" s="330"/>
    </row>
    <row r="74" spans="1:6">
      <c r="A74" s="1305" t="s">
        <v>63</v>
      </c>
      <c r="B74" s="1305" t="s">
        <v>710</v>
      </c>
      <c r="C74" s="1319" t="s">
        <v>712</v>
      </c>
      <c r="D74" s="1320">
        <v>12223197.044058474</v>
      </c>
      <c r="E74" s="450"/>
      <c r="F74" s="330"/>
    </row>
    <row r="75" spans="1:6">
      <c r="A75" s="1305" t="s">
        <v>64</v>
      </c>
      <c r="B75" s="1305" t="s">
        <v>709</v>
      </c>
      <c r="C75" s="1319" t="s">
        <v>713</v>
      </c>
      <c r="D75" s="1320">
        <v>48578403</v>
      </c>
      <c r="E75" s="450"/>
      <c r="F75" s="330"/>
    </row>
    <row r="76" spans="1:6">
      <c r="A76" s="1305" t="s">
        <v>64</v>
      </c>
      <c r="B76" s="1305" t="s">
        <v>710</v>
      </c>
      <c r="C76" s="1319" t="s">
        <v>714</v>
      </c>
      <c r="D76" s="1320">
        <v>2089110.0440584747</v>
      </c>
      <c r="E76" s="450"/>
      <c r="F76" s="330"/>
    </row>
    <row r="77" spans="1:6">
      <c r="A77" s="1305" t="s">
        <v>65</v>
      </c>
      <c r="B77" s="1305" t="s">
        <v>709</v>
      </c>
      <c r="C77" s="1319" t="s">
        <v>715</v>
      </c>
      <c r="D77" s="1320">
        <v>42160295</v>
      </c>
      <c r="E77" s="450"/>
      <c r="F77" s="330"/>
    </row>
    <row r="78" spans="1:6">
      <c r="A78" s="1300" t="s">
        <v>65</v>
      </c>
      <c r="B78" s="1300" t="s">
        <v>710</v>
      </c>
      <c r="C78" s="1300" t="s">
        <v>716</v>
      </c>
      <c r="D78" s="1321">
        <v>17349625</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780963.91188305081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9330.4668763955833</v>
      </c>
      <c r="C91" s="330"/>
      <c r="D91" s="330"/>
      <c r="E91" s="330"/>
      <c r="F91" s="330"/>
    </row>
    <row r="92" spans="1:6">
      <c r="A92" s="1300" t="s">
        <v>68</v>
      </c>
      <c r="B92" s="1301">
        <v>3222.2757255130109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4099</v>
      </c>
      <c r="C97" s="330"/>
      <c r="D97" s="330"/>
      <c r="E97" s="330"/>
      <c r="F97" s="330"/>
    </row>
    <row r="98" spans="1:6">
      <c r="A98" s="1305" t="s">
        <v>71</v>
      </c>
      <c r="B98" s="1306">
        <v>23</v>
      </c>
      <c r="C98" s="330"/>
      <c r="D98" s="330"/>
      <c r="E98" s="330"/>
      <c r="F98" s="330"/>
    </row>
    <row r="99" spans="1:6">
      <c r="A99" s="1305" t="s">
        <v>72</v>
      </c>
      <c r="B99" s="1306">
        <v>75</v>
      </c>
      <c r="C99" s="330"/>
      <c r="D99" s="330"/>
      <c r="E99" s="330"/>
      <c r="F99" s="330"/>
    </row>
    <row r="100" spans="1:6">
      <c r="A100" s="1305" t="s">
        <v>73</v>
      </c>
      <c r="B100" s="1306">
        <v>669</v>
      </c>
      <c r="C100" s="330"/>
      <c r="D100" s="330"/>
      <c r="E100" s="330"/>
      <c r="F100" s="330"/>
    </row>
    <row r="101" spans="1:6">
      <c r="A101" s="1305" t="s">
        <v>74</v>
      </c>
      <c r="B101" s="1306">
        <v>148</v>
      </c>
      <c r="C101" s="330"/>
      <c r="D101" s="330"/>
      <c r="E101" s="330"/>
      <c r="F101" s="330"/>
    </row>
    <row r="102" spans="1:6">
      <c r="A102" s="1305" t="s">
        <v>75</v>
      </c>
      <c r="B102" s="1306">
        <v>146</v>
      </c>
      <c r="C102" s="330"/>
      <c r="D102" s="330"/>
      <c r="E102" s="330"/>
      <c r="F102" s="330"/>
    </row>
    <row r="103" spans="1:6">
      <c r="A103" s="1305" t="s">
        <v>76</v>
      </c>
      <c r="B103" s="1306">
        <v>214</v>
      </c>
      <c r="C103" s="330"/>
      <c r="D103" s="330"/>
      <c r="E103" s="330"/>
      <c r="F103" s="330"/>
    </row>
    <row r="104" spans="1:6">
      <c r="A104" s="1305" t="s">
        <v>77</v>
      </c>
      <c r="B104" s="1306">
        <v>6977</v>
      </c>
      <c r="C104" s="330"/>
      <c r="D104" s="330"/>
      <c r="E104" s="330"/>
      <c r="F104" s="330"/>
    </row>
    <row r="105" spans="1:6">
      <c r="A105" s="1300" t="s">
        <v>78</v>
      </c>
      <c r="B105" s="1309">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2</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52</v>
      </c>
      <c r="C123" s="1306">
        <v>32</v>
      </c>
      <c r="D123" s="330"/>
      <c r="E123" s="330"/>
      <c r="F123" s="330"/>
    </row>
    <row r="124" spans="1:6" s="43" customFormat="1">
      <c r="A124" s="1307" t="s">
        <v>88</v>
      </c>
      <c r="B124" s="1328">
        <v>1</v>
      </c>
      <c r="C124" s="1328">
        <v>4</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389</v>
      </c>
      <c r="C129" s="330"/>
      <c r="D129" s="330"/>
      <c r="E129" s="330"/>
      <c r="F129" s="330"/>
    </row>
    <row r="130" spans="1:6">
      <c r="A130" s="1305" t="s">
        <v>294</v>
      </c>
      <c r="B130" s="1306">
        <v>4</v>
      </c>
      <c r="C130" s="330"/>
      <c r="D130" s="330"/>
      <c r="E130" s="330"/>
      <c r="F130" s="330"/>
    </row>
    <row r="131" spans="1:6">
      <c r="A131" s="1305" t="s">
        <v>295</v>
      </c>
      <c r="B131" s="1306">
        <v>0</v>
      </c>
      <c r="C131" s="330"/>
      <c r="D131" s="330"/>
      <c r="E131" s="330"/>
      <c r="F131" s="330"/>
    </row>
    <row r="132" spans="1:6">
      <c r="A132" s="1300" t="s">
        <v>296</v>
      </c>
      <c r="B132" s="1301">
        <v>51</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213767.22185086642</v>
      </c>
      <c r="C3" s="43" t="s">
        <v>169</v>
      </c>
      <c r="D3" s="43"/>
      <c r="E3" s="154"/>
      <c r="F3" s="43"/>
      <c r="G3" s="43"/>
      <c r="H3" s="43"/>
      <c r="I3" s="43"/>
      <c r="J3" s="43"/>
      <c r="K3" s="96"/>
    </row>
    <row r="4" spans="1:11">
      <c r="A4" s="359" t="s">
        <v>170</v>
      </c>
      <c r="B4" s="49">
        <f>IF(ISERROR('SEAP template'!B78+'SEAP template'!C78),0,'SEAP template'!B78+'SEAP template'!C78)</f>
        <v>12565.117601908594</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2.9408823529411769</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0.20802350115396043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4.2012605042016817</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17.678571428571431</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1412.634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1412.634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0.20802350115396043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293.86107052912377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54068.186999999998</v>
      </c>
      <c r="C5" s="17">
        <f>IF(ISERROR('Eigen informatie GS &amp; warmtenet'!B57),0,'Eigen informatie GS &amp; warmtenet'!B57)</f>
        <v>0</v>
      </c>
      <c r="D5" s="30">
        <f>(SUM(HH_hh_gas_kWh,HH_rest_gas_kWh)/1000)*0.902</f>
        <v>115439.47984381043</v>
      </c>
      <c r="E5" s="17">
        <f>B46*B57</f>
        <v>22333.327825469602</v>
      </c>
      <c r="F5" s="17">
        <f>B51*B62</f>
        <v>60169.411348942216</v>
      </c>
      <c r="G5" s="18"/>
      <c r="H5" s="17"/>
      <c r="I5" s="17"/>
      <c r="J5" s="17">
        <f>B50*B61+C50*C61</f>
        <v>0</v>
      </c>
      <c r="K5" s="17"/>
      <c r="L5" s="17"/>
      <c r="M5" s="17"/>
      <c r="N5" s="17">
        <f>B48*B59+C48*C59</f>
        <v>31780.692686824299</v>
      </c>
      <c r="O5" s="17">
        <f>B69*B70*B71</f>
        <v>664.41666666666663</v>
      </c>
      <c r="P5" s="17">
        <f>B77*B78*B79/1000-B77*B78*B79/1000/B80</f>
        <v>1982.9333333333334</v>
      </c>
    </row>
    <row r="6" spans="1:16">
      <c r="A6" s="16" t="s">
        <v>630</v>
      </c>
      <c r="B6" s="763">
        <f>kWh_PV_kleiner_dan_10kW</f>
        <v>9330.4668763955833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63398.653876395583</v>
      </c>
      <c r="C8" s="21">
        <f>C5</f>
        <v>0</v>
      </c>
      <c r="D8" s="21">
        <f>D5</f>
        <v>115439.47984381043</v>
      </c>
      <c r="E8" s="21">
        <f>E5</f>
        <v>22333.327825469602</v>
      </c>
      <c r="F8" s="21">
        <f>F5</f>
        <v>60169.411348942216</v>
      </c>
      <c r="G8" s="21"/>
      <c r="H8" s="21"/>
      <c r="I8" s="21"/>
      <c r="J8" s="21">
        <f>J5</f>
        <v>0</v>
      </c>
      <c r="K8" s="21"/>
      <c r="L8" s="21">
        <f>L5</f>
        <v>0</v>
      </c>
      <c r="M8" s="21">
        <f>M5</f>
        <v>0</v>
      </c>
      <c r="N8" s="21">
        <f>N5</f>
        <v>31780.692686824299</v>
      </c>
      <c r="O8" s="21">
        <f>O5</f>
        <v>664.41666666666663</v>
      </c>
      <c r="P8" s="21">
        <f>P5</f>
        <v>1982.9333333333334</v>
      </c>
    </row>
    <row r="9" spans="1:16">
      <c r="B9" s="19"/>
      <c r="C9" s="19"/>
      <c r="D9" s="258"/>
      <c r="E9" s="19"/>
      <c r="F9" s="19"/>
      <c r="G9" s="19"/>
      <c r="H9" s="19"/>
      <c r="I9" s="19"/>
      <c r="J9" s="19"/>
      <c r="K9" s="19"/>
      <c r="L9" s="19"/>
      <c r="M9" s="19"/>
      <c r="N9" s="19"/>
      <c r="O9" s="19"/>
      <c r="P9" s="19"/>
    </row>
    <row r="10" spans="1:16">
      <c r="A10" s="24" t="s">
        <v>213</v>
      </c>
      <c r="B10" s="25">
        <f ca="1">'EF ele_warmte'!B12</f>
        <v>0.20802350115396043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13188.409947815915</v>
      </c>
      <c r="C12" s="23">
        <f ca="1">C10*C8</f>
        <v>0</v>
      </c>
      <c r="D12" s="23">
        <f>D8*D10</f>
        <v>23318.774928449708</v>
      </c>
      <c r="E12" s="23">
        <f>E10*E8</f>
        <v>5069.6654163816002</v>
      </c>
      <c r="F12" s="23">
        <f>F10*F8</f>
        <v>16065.232830167573</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4099</v>
      </c>
      <c r="C18" s="166" t="s">
        <v>110</v>
      </c>
      <c r="D18" s="228"/>
      <c r="E18" s="15"/>
    </row>
    <row r="19" spans="1:7">
      <c r="A19" s="171" t="s">
        <v>71</v>
      </c>
      <c r="B19" s="37">
        <f>aantalw2001_ander</f>
        <v>23</v>
      </c>
      <c r="C19" s="166" t="s">
        <v>110</v>
      </c>
      <c r="D19" s="229"/>
      <c r="E19" s="15"/>
    </row>
    <row r="20" spans="1:7">
      <c r="A20" s="171" t="s">
        <v>72</v>
      </c>
      <c r="B20" s="37">
        <f>aantalw2001_propaan</f>
        <v>75</v>
      </c>
      <c r="C20" s="167">
        <f>IF(ISERROR(B20/SUM($B$20,$B$21,$B$22)*100),0,B20/SUM($B$20,$B$21,$B$22)*100)</f>
        <v>8.4080717488789247</v>
      </c>
      <c r="D20" s="229"/>
      <c r="E20" s="15"/>
    </row>
    <row r="21" spans="1:7">
      <c r="A21" s="171" t="s">
        <v>73</v>
      </c>
      <c r="B21" s="37">
        <f>aantalw2001_elektriciteit</f>
        <v>669</v>
      </c>
      <c r="C21" s="167">
        <f>IF(ISERROR(B21/SUM($B$20,$B$21,$B$22)*100),0,B21/SUM($B$20,$B$21,$B$22)*100)</f>
        <v>75</v>
      </c>
      <c r="D21" s="229"/>
      <c r="E21" s="15"/>
    </row>
    <row r="22" spans="1:7">
      <c r="A22" s="171" t="s">
        <v>74</v>
      </c>
      <c r="B22" s="37">
        <f>aantalw2001_hout</f>
        <v>148</v>
      </c>
      <c r="C22" s="167">
        <f>IF(ISERROR(B22/SUM($B$20,$B$21,$B$22)*100),0,B22/SUM($B$20,$B$21,$B$22)*100)</f>
        <v>16.591928251121075</v>
      </c>
      <c r="D22" s="229"/>
      <c r="E22" s="15"/>
    </row>
    <row r="23" spans="1:7">
      <c r="A23" s="171" t="s">
        <v>75</v>
      </c>
      <c r="B23" s="37">
        <f>aantalw2001_niet_gespec</f>
        <v>146</v>
      </c>
      <c r="C23" s="166" t="s">
        <v>110</v>
      </c>
      <c r="D23" s="228"/>
      <c r="E23" s="15"/>
    </row>
    <row r="24" spans="1:7">
      <c r="A24" s="171" t="s">
        <v>76</v>
      </c>
      <c r="B24" s="37">
        <f>aantalw2001_steenkool</f>
        <v>214</v>
      </c>
      <c r="C24" s="166" t="s">
        <v>110</v>
      </c>
      <c r="D24" s="229"/>
      <c r="E24" s="15"/>
    </row>
    <row r="25" spans="1:7">
      <c r="A25" s="171" t="s">
        <v>77</v>
      </c>
      <c r="B25" s="37">
        <f>aantalw2001_stookolie</f>
        <v>6977</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736</v>
      </c>
      <c r="B28" s="37">
        <f>aantalHuishoudens</f>
        <v>14984</v>
      </c>
      <c r="C28" s="36"/>
      <c r="D28" s="228"/>
    </row>
    <row r="29" spans="1:7" s="15" customFormat="1">
      <c r="A29" s="230" t="s">
        <v>737</v>
      </c>
      <c r="B29" s="37">
        <f>SUM(HH_hh_gas_aantal,HH_rest_gas_aantal)</f>
        <v>8865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8865</v>
      </c>
      <c r="C32" s="167">
        <f>IF(ISERROR(B32/SUM($B$32,$B$34,$B$35,$B$36,$B$38,$B$39)*100),0,B32/SUM($B$32,$B$34,$B$35,$B$36,$B$38,$B$39)*100)</f>
        <v>59.576612903225815</v>
      </c>
      <c r="D32" s="233"/>
      <c r="G32" s="15"/>
    </row>
    <row r="33" spans="1:7">
      <c r="A33" s="171" t="s">
        <v>71</v>
      </c>
      <c r="B33" s="34" t="s">
        <v>110</v>
      </c>
      <c r="C33" s="167"/>
      <c r="D33" s="233"/>
      <c r="G33" s="15"/>
    </row>
    <row r="34" spans="1:7">
      <c r="A34" s="171" t="s">
        <v>72</v>
      </c>
      <c r="B34" s="33">
        <f>IF((($B$28-$B$32-$B$39-$B$77-$B$38)*C20/100)&lt;0,0,($B$28-$B$32-$B$39-$B$77-$B$38)*C20/100)</f>
        <v>279.77017937219739</v>
      </c>
      <c r="C34" s="167">
        <f>IF(ISERROR(B34/SUM($B$32,$B$34,$B$35,$B$36,$B$38,$B$39)*100),0,B34/SUM($B$32,$B$34,$B$35,$B$36,$B$38,$B$39)*100)</f>
        <v>1.8801759366411115</v>
      </c>
      <c r="D34" s="233"/>
      <c r="G34" s="15"/>
    </row>
    <row r="35" spans="1:7">
      <c r="A35" s="171" t="s">
        <v>73</v>
      </c>
      <c r="B35" s="33">
        <f>IF((($B$28-$B$32-$B$39-$B$77-$B$38)*C21/100)&lt;0,0,($B$28-$B$32-$B$39-$B$77-$B$38)*C21/100)</f>
        <v>2495.5500000000002</v>
      </c>
      <c r="C35" s="167">
        <f>IF(ISERROR(B35/SUM($B$32,$B$34,$B$35,$B$36,$B$38,$B$39)*100),0,B35/SUM($B$32,$B$34,$B$35,$B$36,$B$38,$B$39)*100)</f>
        <v>16.771169354838712</v>
      </c>
      <c r="D35" s="233"/>
      <c r="G35" s="15"/>
    </row>
    <row r="36" spans="1:7">
      <c r="A36" s="171" t="s">
        <v>74</v>
      </c>
      <c r="B36" s="33">
        <f>IF((($B$28-$B$32-$B$39-$B$77-$B$38)*C22/100)&lt;0,0,($B$28-$B$32-$B$39-$B$77-$B$38)*C22/100)</f>
        <v>552.07982062780275</v>
      </c>
      <c r="C36" s="167">
        <f>IF(ISERROR(B36/SUM($B$32,$B$34,$B$35,$B$36,$B$38,$B$39)*100),0,B36/SUM($B$32,$B$34,$B$35,$B$36,$B$38,$B$39)*100)</f>
        <v>3.7102138483051257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2687.5999999999995</v>
      </c>
      <c r="C39" s="167">
        <f>IF(ISERROR(B39/SUM($B$32,$B$34,$B$35,$B$36,$B$38,$B$39)*100),0,B39/SUM($B$32,$B$34,$B$35,$B$36,$B$38,$B$39)*100)</f>
        <v>18.061827956989244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8865</v>
      </c>
      <c r="C44" s="34" t="s">
        <v>110</v>
      </c>
      <c r="D44" s="174"/>
    </row>
    <row r="45" spans="1:7">
      <c r="A45" s="171" t="s">
        <v>71</v>
      </c>
      <c r="B45" s="33" t="str">
        <f t="shared" si="0"/>
        <v>-</v>
      </c>
      <c r="C45" s="34" t="s">
        <v>110</v>
      </c>
      <c r="D45" s="174"/>
    </row>
    <row r="46" spans="1:7">
      <c r="A46" s="171" t="s">
        <v>72</v>
      </c>
      <c r="B46" s="33">
        <f t="shared" si="0"/>
        <v>279.77017937219739</v>
      </c>
      <c r="C46" s="34" t="s">
        <v>110</v>
      </c>
      <c r="D46" s="174"/>
    </row>
    <row r="47" spans="1:7">
      <c r="A47" s="171" t="s">
        <v>73</v>
      </c>
      <c r="B47" s="33">
        <f t="shared" si="0"/>
        <v>2495.5500000000002</v>
      </c>
      <c r="C47" s="34" t="s">
        <v>110</v>
      </c>
      <c r="D47" s="174"/>
    </row>
    <row r="48" spans="1:7">
      <c r="A48" s="171" t="s">
        <v>74</v>
      </c>
      <c r="B48" s="33">
        <f t="shared" si="0"/>
        <v>552.07982062780275</v>
      </c>
      <c r="C48" s="33">
        <f>B48*10</f>
        <v>5520.7982062780275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2687.5999999999995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425</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82393.5</v>
      </c>
      <c r="C5" s="17">
        <f>IF(ISERROR('Eigen informatie GS &amp; warmtenet'!B58),0,'Eigen informatie GS &amp; warmtenet'!B58)</f>
        <v>0</v>
      </c>
      <c r="D5" s="30">
        <f>SUM(D6:D12)</f>
        <v>93068.533372219361</v>
      </c>
      <c r="E5" s="17">
        <f>SUM(E6:E12)</f>
        <v>750.99320212717214</v>
      </c>
      <c r="F5" s="17">
        <f>SUM(F6:F12)</f>
        <v>12048.657339771882</v>
      </c>
      <c r="G5" s="18"/>
      <c r="H5" s="17"/>
      <c r="I5" s="17"/>
      <c r="J5" s="17">
        <f>SUM(J6:J12)</f>
        <v>0</v>
      </c>
      <c r="K5" s="17"/>
      <c r="L5" s="17"/>
      <c r="M5" s="17"/>
      <c r="N5" s="17">
        <f>SUM(N6:N12)</f>
        <v>6442.8342326822485</v>
      </c>
      <c r="O5" s="17">
        <f>B38*B39*B40</f>
        <v>6.2533333333333339</v>
      </c>
      <c r="P5" s="17">
        <f>B46*B47*B48/1000-B46*B47*B48/1000/B49</f>
        <v>0</v>
      </c>
      <c r="R5" s="32"/>
    </row>
    <row r="6" spans="1:18">
      <c r="A6" s="32" t="s">
        <v>53</v>
      </c>
      <c r="B6" s="37">
        <f>B26</f>
        <v>39477.095999999998</v>
      </c>
      <c r="C6" s="33"/>
      <c r="D6" s="37">
        <f>IF(ISERROR(TER_kantoor_gas_kWh/1000),0,TER_kantoor_gas_kWh/1000)*0.902</f>
        <v>48552.843822422539</v>
      </c>
      <c r="E6" s="33">
        <f>$C$26*'E Balans VL '!I12/100/3.6*1000000</f>
        <v>114.37093922326167</v>
      </c>
      <c r="F6" s="33">
        <f>$C$26*('E Balans VL '!L12+'E Balans VL '!N12)/100/3.6*1000000</f>
        <v>4467.9375193415281</v>
      </c>
      <c r="G6" s="34"/>
      <c r="H6" s="33"/>
      <c r="I6" s="33"/>
      <c r="J6" s="33">
        <f>$C$26*('E Balans VL '!D12+'E Balans VL '!E12)/100/3.6*1000000</f>
        <v>0</v>
      </c>
      <c r="K6" s="33"/>
      <c r="L6" s="33"/>
      <c r="M6" s="33"/>
      <c r="N6" s="33">
        <f>$C$26*'E Balans VL '!Y12/100/3.6*1000000</f>
        <v>395.13664293692267</v>
      </c>
      <c r="O6" s="33"/>
      <c r="P6" s="33"/>
      <c r="R6" s="32"/>
    </row>
    <row r="7" spans="1:18">
      <c r="A7" s="32" t="s">
        <v>52</v>
      </c>
      <c r="B7" s="37">
        <f t="shared" ref="B7:B12" si="0">B27</f>
        <v>9299.49</v>
      </c>
      <c r="C7" s="33"/>
      <c r="D7" s="37">
        <f>IF(ISERROR(TER_horeca_gas_kWh/1000),0,TER_horeca_gas_kWh/1000)*0.902</f>
        <v>19950.951507855851</v>
      </c>
      <c r="E7" s="33">
        <f>$C$27*'E Balans VL '!I9/100/3.6*1000000</f>
        <v>390.36660793844902</v>
      </c>
      <c r="F7" s="33">
        <f>$C$27*('E Balans VL '!L9+'E Balans VL '!N9)/100/3.6*1000000</f>
        <v>1998.186130503515</v>
      </c>
      <c r="G7" s="34"/>
      <c r="H7" s="33"/>
      <c r="I7" s="33"/>
      <c r="J7" s="33">
        <f>$C$27*('E Balans VL '!D9+'E Balans VL '!E9)/100/3.6*1000000</f>
        <v>0</v>
      </c>
      <c r="K7" s="33"/>
      <c r="L7" s="33"/>
      <c r="M7" s="33"/>
      <c r="N7" s="33">
        <f>$C$27*'E Balans VL '!Y9/100/3.6*1000000</f>
        <v>2.3963972460096254</v>
      </c>
      <c r="O7" s="33"/>
      <c r="P7" s="33"/>
      <c r="R7" s="32"/>
    </row>
    <row r="8" spans="1:18">
      <c r="A8" s="6" t="s">
        <v>51</v>
      </c>
      <c r="B8" s="37">
        <f t="shared" si="0"/>
        <v>14320.964</v>
      </c>
      <c r="C8" s="33"/>
      <c r="D8" s="37">
        <f>IF(ISERROR(TER_handel_gas_kWh/1000),0,TER_handel_gas_kWh/1000)*0.902</f>
        <v>8518.5493261045267</v>
      </c>
      <c r="E8" s="33">
        <f>$C$28*'E Balans VL '!I13/100/3.6*1000000</f>
        <v>153.8190723595207</v>
      </c>
      <c r="F8" s="33">
        <f>$C$28*('E Balans VL '!L13+'E Balans VL '!N13)/100/3.6*1000000</f>
        <v>1853.967049882805</v>
      </c>
      <c r="G8" s="34"/>
      <c r="H8" s="33"/>
      <c r="I8" s="33"/>
      <c r="J8" s="33">
        <f>$C$28*('E Balans VL '!D13+'E Balans VL '!E13)/100/3.6*1000000</f>
        <v>0</v>
      </c>
      <c r="K8" s="33"/>
      <c r="L8" s="33"/>
      <c r="M8" s="33"/>
      <c r="N8" s="33">
        <f>$C$28*'E Balans VL '!Y13/100/3.6*1000000</f>
        <v>116.1724419266336</v>
      </c>
      <c r="O8" s="33"/>
      <c r="P8" s="33"/>
      <c r="R8" s="32"/>
    </row>
    <row r="9" spans="1:18">
      <c r="A9" s="32" t="s">
        <v>50</v>
      </c>
      <c r="B9" s="37">
        <f t="shared" si="0"/>
        <v>1672.4960000000001</v>
      </c>
      <c r="C9" s="33"/>
      <c r="D9" s="37">
        <f>IF(ISERROR(TER_gezond_gas_kWh/1000),0,TER_gezond_gas_kWh/1000)*0.902</f>
        <v>6205.5933379059761</v>
      </c>
      <c r="E9" s="33">
        <f>$C$29*'E Balans VL '!I10/100/3.6*1000000</f>
        <v>1.3314149901432091</v>
      </c>
      <c r="F9" s="33">
        <f>$C$29*('E Balans VL '!L10+'E Balans VL '!N10)/100/3.6*1000000</f>
        <v>203.31605854417867</v>
      </c>
      <c r="G9" s="34"/>
      <c r="H9" s="33"/>
      <c r="I9" s="33"/>
      <c r="J9" s="33">
        <f>$C$29*('E Balans VL '!D10+'E Balans VL '!E10)/100/3.6*1000000</f>
        <v>0</v>
      </c>
      <c r="K9" s="33"/>
      <c r="L9" s="33"/>
      <c r="M9" s="33"/>
      <c r="N9" s="33">
        <f>$C$29*'E Balans VL '!Y10/100/3.6*1000000</f>
        <v>13.509979589298029</v>
      </c>
      <c r="O9" s="33"/>
      <c r="P9" s="33"/>
      <c r="R9" s="32"/>
    </row>
    <row r="10" spans="1:18">
      <c r="A10" s="32" t="s">
        <v>49</v>
      </c>
      <c r="B10" s="37">
        <f t="shared" si="0"/>
        <v>7548.7070000000003</v>
      </c>
      <c r="C10" s="33"/>
      <c r="D10" s="37">
        <f>IF(ISERROR(TER_ander_gas_kWh/1000),0,TER_ander_gas_kWh/1000)*0.902</f>
        <v>3506.7562693955724</v>
      </c>
      <c r="E10" s="33">
        <f>$C$30*'E Balans VL '!I14/100/3.6*1000000</f>
        <v>25.869815447232586</v>
      </c>
      <c r="F10" s="33">
        <f>$C$30*('E Balans VL '!L14+'E Balans VL '!N14)/100/3.6*1000000</f>
        <v>1686.07440048081</v>
      </c>
      <c r="G10" s="34"/>
      <c r="H10" s="33"/>
      <c r="I10" s="33"/>
      <c r="J10" s="33">
        <f>$C$30*('E Balans VL '!D14+'E Balans VL '!E14)/100/3.6*1000000</f>
        <v>0</v>
      </c>
      <c r="K10" s="33"/>
      <c r="L10" s="33"/>
      <c r="M10" s="33"/>
      <c r="N10" s="33">
        <f>$C$30*'E Balans VL '!Y14/100/3.6*1000000</f>
        <v>5317.3504485802541</v>
      </c>
      <c r="O10" s="33"/>
      <c r="P10" s="33"/>
      <c r="R10" s="32"/>
    </row>
    <row r="11" spans="1:18">
      <c r="A11" s="32" t="s">
        <v>54</v>
      </c>
      <c r="B11" s="37">
        <f t="shared" si="0"/>
        <v>3096.0859999999998</v>
      </c>
      <c r="C11" s="33"/>
      <c r="D11" s="37">
        <f>IF(ISERROR(TER_onderwijs_gas_kWh/1000),0,TER_onderwijs_gas_kWh/1000)*0.902</f>
        <v>2857.947818265468</v>
      </c>
      <c r="E11" s="33">
        <f>$C$31*'E Balans VL '!I11/100/3.6*1000000</f>
        <v>2.1402288998555163</v>
      </c>
      <c r="F11" s="33">
        <f>$C$31*('E Balans VL '!L11+'E Balans VL '!N11)/100/3.6*1000000</f>
        <v>810.46537960394937</v>
      </c>
      <c r="G11" s="34"/>
      <c r="H11" s="33"/>
      <c r="I11" s="33"/>
      <c r="J11" s="33">
        <f>$C$31*('E Balans VL '!D11+'E Balans VL '!E11)/100/3.6*1000000</f>
        <v>0</v>
      </c>
      <c r="K11" s="33"/>
      <c r="L11" s="33"/>
      <c r="M11" s="33"/>
      <c r="N11" s="33">
        <f>$C$31*'E Balans VL '!Y11/100/3.6*1000000</f>
        <v>3.0818899089656129</v>
      </c>
      <c r="O11" s="33"/>
      <c r="P11" s="33"/>
      <c r="R11" s="32"/>
    </row>
    <row r="12" spans="1:18">
      <c r="A12" s="32" t="s">
        <v>259</v>
      </c>
      <c r="B12" s="37">
        <f t="shared" si="0"/>
        <v>6978.6610000000001</v>
      </c>
      <c r="C12" s="33"/>
      <c r="D12" s="37">
        <f>IF(ISERROR(TER_rest_gas_kWh/1000),0,TER_rest_gas_kWh/1000)*0.902</f>
        <v>3475.8912902694237</v>
      </c>
      <c r="E12" s="33">
        <f>$C$32*'E Balans VL '!I8/100/3.6*1000000</f>
        <v>63.095123268709429</v>
      </c>
      <c r="F12" s="33">
        <f>$C$32*('E Balans VL '!L8+'E Balans VL '!N8)/100/3.6*1000000</f>
        <v>1028.7108014150956</v>
      </c>
      <c r="G12" s="34"/>
      <c r="H12" s="33"/>
      <c r="I12" s="33"/>
      <c r="J12" s="33">
        <f>$C$32*('E Balans VL '!D8+'E Balans VL '!E8)/100/3.6*1000000</f>
        <v>0</v>
      </c>
      <c r="K12" s="33"/>
      <c r="L12" s="33"/>
      <c r="M12" s="33"/>
      <c r="N12" s="33">
        <f>$C$32*'E Balans VL '!Y8/100/3.6*1000000</f>
        <v>595.18643249416493</v>
      </c>
      <c r="O12" s="33"/>
      <c r="P12" s="33"/>
      <c r="R12" s="32"/>
    </row>
    <row r="13" spans="1:18">
      <c r="A13" s="16" t="s">
        <v>493</v>
      </c>
      <c r="B13" s="247">
        <f ca="1">'lokale energieproductie'!N38+'lokale energieproductie'!N31</f>
        <v>12.375</v>
      </c>
      <c r="C13" s="247">
        <f ca="1">'lokale energieproductie'!O38+'lokale energieproductie'!O31</f>
        <v>17.678571428571431</v>
      </c>
      <c r="D13" s="308">
        <f ca="1">('lokale energieproductie'!P31+'lokale energieproductie'!P38)*(-1)</f>
        <v>-35.357142857142861</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82405.875</v>
      </c>
      <c r="C16" s="21">
        <f t="shared" ca="1" si="1"/>
        <v>17.678571428571431</v>
      </c>
      <c r="D16" s="21">
        <f t="shared" ca="1" si="1"/>
        <v>93033.176229362216</v>
      </c>
      <c r="E16" s="21">
        <f t="shared" si="1"/>
        <v>750.99320212717214</v>
      </c>
      <c r="F16" s="21">
        <f t="shared" ca="1" si="1"/>
        <v>12048.657339771882</v>
      </c>
      <c r="G16" s="21">
        <f t="shared" si="1"/>
        <v>0</v>
      </c>
      <c r="H16" s="21">
        <f t="shared" si="1"/>
        <v>0</v>
      </c>
      <c r="I16" s="21">
        <f t="shared" si="1"/>
        <v>0</v>
      </c>
      <c r="J16" s="21">
        <f t="shared" si="1"/>
        <v>0</v>
      </c>
      <c r="K16" s="21">
        <f t="shared" si="1"/>
        <v>0</v>
      </c>
      <c r="L16" s="21">
        <f t="shared" ca="1" si="1"/>
        <v>0</v>
      </c>
      <c r="M16" s="21">
        <f t="shared" si="1"/>
        <v>0</v>
      </c>
      <c r="N16" s="21">
        <f t="shared" ca="1" si="1"/>
        <v>6442.8342326822485</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0.20802350115396043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17142.358633155618</v>
      </c>
      <c r="C20" s="23">
        <f t="shared" ref="C20:P20" ca="1" si="2">C16*C18</f>
        <v>4.2012605042016817</v>
      </c>
      <c r="D20" s="23">
        <f t="shared" ca="1" si="2"/>
        <v>18792.701598331168</v>
      </c>
      <c r="E20" s="23">
        <f t="shared" si="2"/>
        <v>170.47545688286809</v>
      </c>
      <c r="F20" s="23">
        <f t="shared" ca="1" si="2"/>
        <v>3216.9915097190928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39477.095999999998</v>
      </c>
      <c r="C26" s="39">
        <f>IF(ISERROR(B26*3.6/1000000/'E Balans VL '!Z12*100),0,B26*3.6/1000000/'E Balans VL '!Z12*100)</f>
        <v>0.86716005373324889</v>
      </c>
      <c r="D26" s="237" t="s">
        <v>691</v>
      </c>
      <c r="F26" s="6"/>
    </row>
    <row r="27" spans="1:18">
      <c r="A27" s="231" t="s">
        <v>52</v>
      </c>
      <c r="B27" s="33">
        <f>IF(ISERROR(TER_horeca_ele_kWh/1000),0,TER_horeca_ele_kWh/1000)</f>
        <v>9299.49</v>
      </c>
      <c r="C27" s="39">
        <f>IF(ISERROR(B27*3.6/1000000/'E Balans VL '!Z9*100),0,B27*3.6/1000000/'E Balans VL '!Z9*100)</f>
        <v>0.74730671991118824</v>
      </c>
      <c r="D27" s="237" t="s">
        <v>691</v>
      </c>
      <c r="F27" s="6"/>
    </row>
    <row r="28" spans="1:18">
      <c r="A28" s="171" t="s">
        <v>51</v>
      </c>
      <c r="B28" s="33">
        <f>IF(ISERROR(TER_handel_ele_kWh/1000),0,TER_handel_ele_kWh/1000)</f>
        <v>14320.964</v>
      </c>
      <c r="C28" s="39">
        <f>IF(ISERROR(B28*3.6/1000000/'E Balans VL '!Z13*100),0,B28*3.6/1000000/'E Balans VL '!Z13*100)</f>
        <v>0.42346090064448233</v>
      </c>
      <c r="D28" s="237" t="s">
        <v>691</v>
      </c>
      <c r="F28" s="6"/>
    </row>
    <row r="29" spans="1:18">
      <c r="A29" s="231" t="s">
        <v>50</v>
      </c>
      <c r="B29" s="33">
        <f>IF(ISERROR(TER_gezond_ele_kWh/1000),0,TER_gezond_ele_kWh/1000)</f>
        <v>1672.4960000000001</v>
      </c>
      <c r="C29" s="39">
        <f>IF(ISERROR(B29*3.6/1000000/'E Balans VL '!Z10*100),0,B29*3.6/1000000/'E Balans VL '!Z10*100)</f>
        <v>0.18844711915961021</v>
      </c>
      <c r="D29" s="237" t="s">
        <v>691</v>
      </c>
      <c r="F29" s="6"/>
    </row>
    <row r="30" spans="1:18">
      <c r="A30" s="231" t="s">
        <v>49</v>
      </c>
      <c r="B30" s="33">
        <f>IF(ISERROR(TER_ander_ele_kWh/1000),0,TER_ander_ele_kWh/1000)</f>
        <v>7548.7070000000003</v>
      </c>
      <c r="C30" s="39">
        <f>IF(ISERROR(B30*3.6/1000000/'E Balans VL '!Z14*100),0,B30*3.6/1000000/'E Balans VL '!Z14*100)</f>
        <v>0.57089580647825489</v>
      </c>
      <c r="D30" s="237" t="s">
        <v>691</v>
      </c>
      <c r="F30" s="6"/>
    </row>
    <row r="31" spans="1:18">
      <c r="A31" s="231" t="s">
        <v>54</v>
      </c>
      <c r="B31" s="33">
        <f>IF(ISERROR(TER_onderwijs_ele_kWh/1000),0,TER_onderwijs_ele_kWh/1000)</f>
        <v>3096.0859999999998</v>
      </c>
      <c r="C31" s="39">
        <f>IF(ISERROR(B31*3.6/1000000/'E Balans VL '!Z11*100),0,B31*3.6/1000000/'E Balans VL '!Z11*100)</f>
        <v>0.642675581049029</v>
      </c>
      <c r="D31" s="237" t="s">
        <v>691</v>
      </c>
    </row>
    <row r="32" spans="1:18">
      <c r="A32" s="231" t="s">
        <v>259</v>
      </c>
      <c r="B32" s="33">
        <f>IF(ISERROR(TER_rest_ele_kWh/1000),0,TER_rest_ele_kWh/1000)</f>
        <v>6978.6610000000001</v>
      </c>
      <c r="C32" s="39">
        <f>IF(ISERROR(B32*3.6/1000000/'E Balans VL '!Z8*100),0,B32*3.6/1000000/'E Balans VL '!Z8*100)</f>
        <v>5.8791113517761853E-2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61351.040301000001</v>
      </c>
      <c r="C5" s="17">
        <f>IF(ISERROR('Eigen informatie GS &amp; warmtenet'!B59),0,'Eigen informatie GS &amp; warmtenet'!B59)</f>
        <v>0</v>
      </c>
      <c r="D5" s="30">
        <f>SUM(D6:D15)</f>
        <v>16209.738059419658</v>
      </c>
      <c r="E5" s="17">
        <f>SUM(E6:E15)</f>
        <v>4101.7693823234558</v>
      </c>
      <c r="F5" s="17">
        <f>SUM(F6:F15)</f>
        <v>18341.16304940667</v>
      </c>
      <c r="G5" s="18"/>
      <c r="H5" s="17"/>
      <c r="I5" s="17"/>
      <c r="J5" s="17">
        <f>SUM(J6:J15)</f>
        <v>244.73559298708264</v>
      </c>
      <c r="K5" s="17"/>
      <c r="L5" s="17"/>
      <c r="M5" s="17"/>
      <c r="N5" s="17">
        <f>SUM(N6:N15)</f>
        <v>3825.9861222842464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2263.9749999999999</v>
      </c>
      <c r="C8" s="33"/>
      <c r="D8" s="37">
        <f>IF( ISERROR(IND_metaal_Gas_kWH/1000),0,IND_metaal_Gas_kWH/1000)*0.902</f>
        <v>1250.3274584969845</v>
      </c>
      <c r="E8" s="33">
        <f>C30*'E Balans VL '!I18/100/3.6*1000000</f>
        <v>56.659370507255112</v>
      </c>
      <c r="F8" s="33">
        <f>C30*'E Balans VL '!L18/100/3.6*1000000+C30*'E Balans VL '!N18/100/3.6*1000000</f>
        <v>709.54102659081047</v>
      </c>
      <c r="G8" s="34"/>
      <c r="H8" s="33"/>
      <c r="I8" s="33"/>
      <c r="J8" s="40">
        <f>C30*'E Balans VL '!D18/100/3.6*1000000+C30*'E Balans VL '!E18/100/3.6*1000000</f>
        <v>0</v>
      </c>
      <c r="K8" s="33"/>
      <c r="L8" s="33"/>
      <c r="M8" s="33"/>
      <c r="N8" s="33">
        <f>C30*'E Balans VL '!Y18/100/3.6*1000000</f>
        <v>56.876927527474948</v>
      </c>
      <c r="O8" s="33"/>
      <c r="P8" s="33"/>
      <c r="R8" s="32"/>
    </row>
    <row r="9" spans="1:18">
      <c r="A9" s="6" t="s">
        <v>32</v>
      </c>
      <c r="B9" s="37">
        <f t="shared" si="0"/>
        <v>4828.4650000000001</v>
      </c>
      <c r="C9" s="33"/>
      <c r="D9" s="37">
        <f>IF( ISERROR(IND_andere_gas_kWh/1000),0,IND_andere_gas_kWh/1000)*0.902</f>
        <v>7737.9612510643165</v>
      </c>
      <c r="E9" s="33">
        <f>C31*'E Balans VL '!I19/100/3.6*1000000</f>
        <v>1327.6298352395906</v>
      </c>
      <c r="F9" s="33">
        <f>C31*'E Balans VL '!L19/100/3.6*1000000+C31*'E Balans VL '!N19/100/3.6*1000000</f>
        <v>3805.6706332355961</v>
      </c>
      <c r="G9" s="34"/>
      <c r="H9" s="33"/>
      <c r="I9" s="33"/>
      <c r="J9" s="40">
        <f>C31*'E Balans VL '!D19/100/3.6*1000000+C31*'E Balans VL '!E19/100/3.6*1000000</f>
        <v>0</v>
      </c>
      <c r="K9" s="33"/>
      <c r="L9" s="33"/>
      <c r="M9" s="33"/>
      <c r="N9" s="33">
        <f>C31*'E Balans VL '!Y19/100/3.6*1000000</f>
        <v>388.98418308364637</v>
      </c>
      <c r="O9" s="33"/>
      <c r="P9" s="33"/>
      <c r="R9" s="32"/>
    </row>
    <row r="10" spans="1:18">
      <c r="A10" s="6" t="s">
        <v>40</v>
      </c>
      <c r="B10" s="37">
        <f t="shared" si="0"/>
        <v>894.5843000000001</v>
      </c>
      <c r="C10" s="33"/>
      <c r="D10" s="37">
        <f>IF( ISERROR(IND_voed_gas_kWh/1000),0,IND_voed_gas_kWh/1000)*0.902</f>
        <v>573.56478140899878</v>
      </c>
      <c r="E10" s="33">
        <f>C32*'E Balans VL '!I20/100/3.6*1000000</f>
        <v>9.1197941091970343</v>
      </c>
      <c r="F10" s="33">
        <f>C32*'E Balans VL '!L20/100/3.6*1000000+C32*'E Balans VL '!N20/100/3.6*1000000</f>
        <v>1689.8641476153025</v>
      </c>
      <c r="G10" s="34"/>
      <c r="H10" s="33"/>
      <c r="I10" s="33"/>
      <c r="J10" s="40">
        <f>C32*'E Balans VL '!D20/100/3.6*1000000+C32*'E Balans VL '!E20/100/3.6*1000000</f>
        <v>21.410329392081717</v>
      </c>
      <c r="K10" s="33"/>
      <c r="L10" s="33"/>
      <c r="M10" s="33"/>
      <c r="N10" s="33">
        <f>C32*'E Balans VL '!Y20/100/3.6*1000000</f>
        <v>471.54896957580161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122.55710000000001</v>
      </c>
      <c r="C13" s="33"/>
      <c r="D13" s="37">
        <f>IF( ISERROR(IND_papier_gas_kWh/1000),0,IND_papier_gas_kWh/1000)*0.902</f>
        <v>66.57181429716627</v>
      </c>
      <c r="E13" s="33">
        <f>C35*'E Balans VL '!I23/100/3.6*1000000</f>
        <v>0.25382402650505398</v>
      </c>
      <c r="F13" s="33">
        <f>C35*'E Balans VL '!L23/100/3.6*1000000+C35*'E Balans VL '!N23/100/3.6*1000000</f>
        <v>2.4305700345394974</v>
      </c>
      <c r="G13" s="34"/>
      <c r="H13" s="33"/>
      <c r="I13" s="33"/>
      <c r="J13" s="40">
        <f>C35*'E Balans VL '!D23/100/3.6*1000000+C35*'E Balans VL '!E23/100/3.6*1000000</f>
        <v>0</v>
      </c>
      <c r="K13" s="33"/>
      <c r="L13" s="33"/>
      <c r="M13" s="33"/>
      <c r="N13" s="33">
        <f>C35*'E Balans VL '!Y23/100/3.6*1000000</f>
        <v>8.4999543556062651</v>
      </c>
      <c r="O13" s="33"/>
      <c r="P13" s="33"/>
      <c r="R13" s="32"/>
    </row>
    <row r="14" spans="1:18">
      <c r="A14" s="6" t="s">
        <v>33</v>
      </c>
      <c r="B14" s="37">
        <f t="shared" si="0"/>
        <v>9.5929009999999995</v>
      </c>
      <c r="C14" s="33"/>
      <c r="D14" s="37">
        <f>IF( ISERROR(IND_chemie_gas_kWh/1000),0,IND_chemie_gas_kWh/1000)*0.902</f>
        <v>0</v>
      </c>
      <c r="E14" s="33">
        <f>C36*'E Balans VL '!I24/100/3.6*1000000</f>
        <v>3.596536237716362E-2</v>
      </c>
      <c r="F14" s="33">
        <f>C36*'E Balans VL '!L24/100/3.6*1000000+C36*'E Balans VL '!N24/100/3.6*1000000</f>
        <v>0.11160335474423384</v>
      </c>
      <c r="G14" s="34"/>
      <c r="H14" s="33"/>
      <c r="I14" s="33"/>
      <c r="J14" s="40">
        <f>C36*'E Balans VL '!D24/100/3.6*1000000+C36*'E Balans VL '!E24/100/3.6*1000000</f>
        <v>0</v>
      </c>
      <c r="K14" s="33"/>
      <c r="L14" s="33"/>
      <c r="M14" s="33"/>
      <c r="N14" s="33">
        <f>C36*'E Balans VL '!Y24/100/3.6*1000000</f>
        <v>0.16389010976468527</v>
      </c>
      <c r="O14" s="33"/>
      <c r="P14" s="33"/>
      <c r="R14" s="32"/>
    </row>
    <row r="15" spans="1:18">
      <c r="A15" s="6" t="s">
        <v>269</v>
      </c>
      <c r="B15" s="37">
        <f t="shared" si="0"/>
        <v>53231.866000000002</v>
      </c>
      <c r="C15" s="33"/>
      <c r="D15" s="37">
        <f>IF( ISERROR(IND_rest_gas_kWh/1000),0,IND_rest_gas_kWh/1000)*0.902</f>
        <v>6581.3127541521926</v>
      </c>
      <c r="E15" s="33">
        <f>C37*'E Balans VL '!I15/100/3.6*1000000</f>
        <v>2708.0705930785311</v>
      </c>
      <c r="F15" s="33">
        <f>C37*'E Balans VL '!L15/100/3.6*1000000+C37*'E Balans VL '!N15/100/3.6*1000000</f>
        <v>12133.545068575679</v>
      </c>
      <c r="G15" s="34"/>
      <c r="H15" s="33"/>
      <c r="I15" s="33"/>
      <c r="J15" s="40">
        <f>C37*'E Balans VL '!D15/100/3.6*1000000+C37*'E Balans VL '!E15/100/3.6*1000000</f>
        <v>223.32526359500093</v>
      </c>
      <c r="K15" s="33"/>
      <c r="L15" s="33"/>
      <c r="M15" s="33"/>
      <c r="N15" s="33">
        <f>C37*'E Balans VL '!Y15/100/3.6*1000000</f>
        <v>2899.9121976319525</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61351.040301000001</v>
      </c>
      <c r="C18" s="21">
        <f>C5+C16</f>
        <v>0</v>
      </c>
      <c r="D18" s="21">
        <f>MAX((D5+D16),0)</f>
        <v>16209.738059419658</v>
      </c>
      <c r="E18" s="21">
        <f>MAX((E5+E16),0)</f>
        <v>4101.7693823234558</v>
      </c>
      <c r="F18" s="21">
        <f>MAX((F5+F16),0)</f>
        <v>18341.16304940667</v>
      </c>
      <c r="G18" s="21"/>
      <c r="H18" s="21"/>
      <c r="I18" s="21"/>
      <c r="J18" s="21">
        <f>MAX((J5+J16),0)</f>
        <v>244.73559298708264</v>
      </c>
      <c r="K18" s="21"/>
      <c r="L18" s="21">
        <f>MAX((L5+L16),0)</f>
        <v>0</v>
      </c>
      <c r="M18" s="21"/>
      <c r="N18" s="21">
        <f>MAX((N5+N16),0)</f>
        <v>3825.9861222842464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0.20802350115396043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12762.458202851747</v>
      </c>
      <c r="C22" s="23">
        <f ca="1">C18*C20</f>
        <v>0</v>
      </c>
      <c r="D22" s="23">
        <f>D18*D20</f>
        <v>3274.3670880027712</v>
      </c>
      <c r="E22" s="23">
        <f>E18*E20</f>
        <v>931.10164978742455</v>
      </c>
      <c r="F22" s="23">
        <f>F18*F20</f>
        <v>4897.0905341915814</v>
      </c>
      <c r="G22" s="23"/>
      <c r="H22" s="23"/>
      <c r="I22" s="23"/>
      <c r="J22" s="23">
        <f>J18*J20</f>
        <v>86.636399917427255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2263.9749999999999</v>
      </c>
      <c r="C30" s="39">
        <f>IF(ISERROR(B30*3.6/1000000/'E Balans VL '!Z18*100),0,B30*3.6/1000000/'E Balans VL '!Z18*100)</f>
        <v>0.31688105219963009</v>
      </c>
      <c r="D30" s="237" t="s">
        <v>691</v>
      </c>
    </row>
    <row r="31" spans="1:18">
      <c r="A31" s="6" t="s">
        <v>32</v>
      </c>
      <c r="B31" s="37">
        <f>IF( ISERROR(IND_ander_ele_kWh/1000),0,IND_ander_ele_kWh/1000)</f>
        <v>4828.4650000000001</v>
      </c>
      <c r="C31" s="39">
        <f>IF(ISERROR(B31*3.6/1000000/'E Balans VL '!Z19*100),0,B31*3.6/1000000/'E Balans VL '!Z19*100)</f>
        <v>0.21134112976169184</v>
      </c>
      <c r="D31" s="237" t="s">
        <v>691</v>
      </c>
    </row>
    <row r="32" spans="1:18">
      <c r="A32" s="171" t="s">
        <v>40</v>
      </c>
      <c r="B32" s="37">
        <f>IF( ISERROR(IND_voed_ele_kWh/1000),0,IND_voed_ele_kWh/1000)</f>
        <v>894.5843000000001</v>
      </c>
      <c r="C32" s="39">
        <f>IF(ISERROR(B32*3.6/1000000/'E Balans VL '!Z20*100),0,B32*3.6/1000000/'E Balans VL '!Z20*100)</f>
        <v>0.22146936500074257</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122.55710000000001</v>
      </c>
      <c r="C35" s="39">
        <f>IF(ISERROR(B35*3.6/1000000/'E Balans VL '!Z22*100),0,B35*3.6/1000000/'E Balans VL '!Z22*100)</f>
        <v>3.4776704919045553E-3</v>
      </c>
      <c r="D35" s="237" t="s">
        <v>691</v>
      </c>
    </row>
    <row r="36" spans="1:5">
      <c r="A36" s="171" t="s">
        <v>33</v>
      </c>
      <c r="B36" s="37">
        <f>IF( ISERROR(IND_chemie_ele_kWh/1000),0,IND_chemie_ele_kWh/1000)</f>
        <v>9.5929009999999995</v>
      </c>
      <c r="C36" s="39">
        <f>IF(ISERROR(B36*3.6/1000000/'E Balans VL '!Z24*100),0,B36*3.6/1000000/'E Balans VL '!Z24*100)</f>
        <v>2.4460433350104378E-4</v>
      </c>
      <c r="D36" s="237" t="s">
        <v>691</v>
      </c>
    </row>
    <row r="37" spans="1:5">
      <c r="A37" s="171" t="s">
        <v>269</v>
      </c>
      <c r="B37" s="37">
        <f>IF( ISERROR(IND_rest_ele_kWh/1000),0,IND_rest_ele_kWh/1000)</f>
        <v>53231.866000000002</v>
      </c>
      <c r="C37" s="39">
        <f>IF(ISERROR(B37*3.6/1000000/'E Balans VL '!Z15*100),0,B37*3.6/1000000/'E Balans VL '!Z15*100)</f>
        <v>0.39470517270888222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1282.798</v>
      </c>
      <c r="C5" s="17">
        <f>'Eigen informatie GS &amp; warmtenet'!B60</f>
        <v>0</v>
      </c>
      <c r="D5" s="30">
        <f>IF(ISERROR(SUM(LB_lb_gas_kWh,LB_rest_gas_kWh)/1000),0,SUM(LB_lb_gas_kWh,LB_rest_gas_kWh)/1000)*0.902</f>
        <v>124.7660445403702</v>
      </c>
      <c r="E5" s="17">
        <f>B17*'E Balans VL '!I25/3.6*1000000/100</f>
        <v>11.881812361190685</v>
      </c>
      <c r="F5" s="17">
        <f>B17*('E Balans VL '!L25/3.6*1000000+'E Balans VL '!N25/3.6*1000000)/100</f>
        <v>3254.7028987682193</v>
      </c>
      <c r="G5" s="18"/>
      <c r="H5" s="17"/>
      <c r="I5" s="17"/>
      <c r="J5" s="17">
        <f>('E Balans VL '!D25+'E Balans VL '!E25)/3.6*1000000*landbouw!B17/100</f>
        <v>196.6672494674628</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1282.798</v>
      </c>
      <c r="C8" s="21">
        <f>C5+C6</f>
        <v>0</v>
      </c>
      <c r="D8" s="21">
        <f>MAX((D5+D6),0)</f>
        <v>124.7660445403702</v>
      </c>
      <c r="E8" s="21">
        <f>MAX((E5+E6),0)</f>
        <v>11.881812361190685</v>
      </c>
      <c r="F8" s="21">
        <f>MAX((F5+F6),0)</f>
        <v>3254.7028987682193</v>
      </c>
      <c r="G8" s="21"/>
      <c r="H8" s="21"/>
      <c r="I8" s="21"/>
      <c r="J8" s="21">
        <f>MAX((J5+J6),0)</f>
        <v>196.6672494674628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0.20802350115396043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266.85213123329811</v>
      </c>
      <c r="C12" s="23">
        <f ca="1">C8*C10</f>
        <v>0</v>
      </c>
      <c r="D12" s="23">
        <f>D8*D10</f>
        <v>25.202740997154784</v>
      </c>
      <c r="E12" s="23">
        <f>E8*E10</f>
        <v>2.6971714059902854</v>
      </c>
      <c r="F12" s="23">
        <f>F8*F10</f>
        <v>869.00567397111456</v>
      </c>
      <c r="G12" s="23"/>
      <c r="H12" s="23"/>
      <c r="I12" s="23"/>
      <c r="J12" s="23">
        <f>J8*J10</f>
        <v>69.620206311481823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0.18238667558090196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263.10376383525681</v>
      </c>
      <c r="C26" s="247">
        <f>B26*'GWP N2O_CH4'!B5</f>
        <v>5525.1790405403935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67.611285791314629</v>
      </c>
      <c r="C27" s="247">
        <f>B27*'GWP N2O_CH4'!B5</f>
        <v>1419.8370016176073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3.1464190976111888</v>
      </c>
      <c r="C28" s="247">
        <f>B28*'GWP N2O_CH4'!B4</f>
        <v>975.38992025946857</v>
      </c>
      <c r="D28" s="50"/>
    </row>
    <row r="29" spans="1:4">
      <c r="A29" s="41" t="s">
        <v>276</v>
      </c>
      <c r="B29" s="247">
        <f>B34*'ha_N2O bodem landbouw'!B4</f>
        <v>21.070782490776988</v>
      </c>
      <c r="C29" s="247">
        <f>B29*'GWP N2O_CH4'!B4</f>
        <v>6531.9425721408661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4.7258053021664763E-3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1.026780244949162E-4</v>
      </c>
      <c r="C5" s="438" t="s">
        <v>210</v>
      </c>
      <c r="D5" s="423">
        <f>SUM(D6:D11)</f>
        <v>2.0414359710206874E-4</v>
      </c>
      <c r="E5" s="423">
        <f>SUM(E6:E11)</f>
        <v>2.0191031140853678E-3</v>
      </c>
      <c r="F5" s="436" t="s">
        <v>210</v>
      </c>
      <c r="G5" s="423">
        <f>SUM(G6:G11)</f>
        <v>0.75275608781893877</v>
      </c>
      <c r="H5" s="423">
        <f>SUM(H6:H11)</f>
        <v>0.12462964971069757</v>
      </c>
      <c r="I5" s="438" t="s">
        <v>210</v>
      </c>
      <c r="J5" s="438" t="s">
        <v>210</v>
      </c>
      <c r="K5" s="438" t="s">
        <v>210</v>
      </c>
      <c r="L5" s="438" t="s">
        <v>210</v>
      </c>
      <c r="M5" s="423">
        <f>SUM(M6:M11)</f>
        <v>4.7444214804316973E-2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6.5719186432382497E-5</v>
      </c>
      <c r="C6" s="424"/>
      <c r="D6" s="866">
        <f>vkm_GW_PW*SUMIFS(TableVerdeelsleutelVkm[CNG],TableVerdeelsleutelVkm[Voertuigtype],"Lichte voertuigen")*SUMIFS(TableECFTransport[EnergieConsumptieFactor (PJ per km)],TableECFTransport[Index],CONCATENATE($A6,"_CNG_CNG"))</f>
        <v>1.1467896084537552E-4</v>
      </c>
      <c r="E6" s="866">
        <f>vkm_GW_PW*SUMIFS(TableVerdeelsleutelVkm[LPG],TableVerdeelsleutelVkm[Voertuigtype],"Lichte voertuigen")*SUMIFS(TableECFTransport[EnergieConsumptieFactor (PJ per km)],TableECFTransport[Index],CONCATENATE($A6,"_LPG_LPG"))</f>
        <v>1.1107221087802677E-3</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0.26103880768429516</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7.0228734762248515E-2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1.7276464555683439E-2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0.11440715528032834</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2.2187183961970511E-6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6.6330682162063399E-3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1.9786500901891949E-5</v>
      </c>
      <c r="C8" s="424"/>
      <c r="D8" s="426">
        <f>vkm_NGW_PW*SUMIFS(TableVerdeelsleutelVkm[CNG],TableVerdeelsleutelVkm[Voertuigtype],"Lichte voertuigen")*SUMIFS(TableECFTransport[EnergieConsumptieFactor (PJ per km)],TableECFTransport[Index],CONCATENATE($A8,"_CNG_CNG"))</f>
        <v>5.9123085296981571E-5</v>
      </c>
      <c r="E8" s="426">
        <f>vkm_NGW_PW*SUMIFS(TableVerdeelsleutelVkm[LPG],TableVerdeelsleutelVkm[Voertuigtype],"Lichte voertuigen")*SUMIFS(TableECFTransport[EnergieConsumptieFactor (PJ per km)],TableECFTransport[Index],CONCATENATE($A8,"_LPG_LPG"))</f>
        <v>5.4191664366114829E-4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0.11954778910651391</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3.4959048530178095E-2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7.997391676764375E-3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2.5263045005749839E-2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6.0686346172191049E-7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1.4646978025753016E-3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1.7172337160641749E-5</v>
      </c>
      <c r="C10" s="424"/>
      <c r="D10" s="426">
        <f>vkm_SW_PW*SUMIFS(TableVerdeelsleutelVkm[CNG],TableVerdeelsleutelVkm[Voertuigtype],"Lichte voertuigen")*SUMIFS(TableECFTransport[EnergieConsumptieFactor (PJ per km)],TableECFTransport[Index],CONCATENATE($A10,"_CNG_CNG"))</f>
        <v>3.0341550959711654E-5</v>
      </c>
      <c r="E10" s="426">
        <f>vkm_SW_PW*SUMIFS(TableVerdeelsleutelVkm[LPG],TableVerdeelsleutelVkm[Voertuigtype],"Lichte voertuigen")*SUMIFS(TableECFTransport[EnergieConsumptieFactor (PJ per km)],TableECFTransport[Index],CONCATENATE($A10,"_LPG_LPG"))</f>
        <v>3.6646436164395165E-4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7.7441645858468189E-2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1.9435845747669996E-2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5.0826951152229171E-3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0.1550576448835832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3.1950887430175383E-6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8.9898974378646024E-3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28.521673470810057</v>
      </c>
      <c r="C14" s="21"/>
      <c r="D14" s="21">
        <f t="shared" ref="D14:M14" si="0">((D5)*10^9/3600)+D12</f>
        <v>56.706554750574654</v>
      </c>
      <c r="E14" s="21">
        <f t="shared" si="0"/>
        <v>560.86197613482443</v>
      </c>
      <c r="F14" s="21"/>
      <c r="G14" s="21">
        <f t="shared" si="0"/>
        <v>209098.91328303854</v>
      </c>
      <c r="H14" s="21">
        <f t="shared" si="0"/>
        <v>34619.347141860431</v>
      </c>
      <c r="I14" s="21"/>
      <c r="J14" s="21"/>
      <c r="K14" s="21"/>
      <c r="L14" s="21"/>
      <c r="M14" s="21">
        <f t="shared" si="0"/>
        <v>13178.948556754714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0.20802350115396043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5.9331783741679383</v>
      </c>
      <c r="C18" s="23"/>
      <c r="D18" s="23">
        <f t="shared" ref="D18:M18" si="1">D14*D16</f>
        <v>11.454724059616082</v>
      </c>
      <c r="E18" s="23">
        <f t="shared" si="1"/>
        <v>127.31566858260516</v>
      </c>
      <c r="F18" s="23"/>
      <c r="G18" s="23">
        <f t="shared" si="1"/>
        <v>55829.409846571289</v>
      </c>
      <c r="H18" s="23">
        <f t="shared" si="1"/>
        <v>8620.2174383232468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9.90488102215893E-3</v>
      </c>
      <c r="H50" s="319">
        <f t="shared" si="2"/>
        <v>0</v>
      </c>
      <c r="I50" s="319">
        <f t="shared" si="2"/>
        <v>0</v>
      </c>
      <c r="J50" s="319">
        <f t="shared" si="2"/>
        <v>0</v>
      </c>
      <c r="K50" s="319">
        <f t="shared" si="2"/>
        <v>0</v>
      </c>
      <c r="L50" s="319">
        <f t="shared" si="2"/>
        <v>0</v>
      </c>
      <c r="M50" s="319">
        <f t="shared" si="2"/>
        <v>5.6613285166209437E-4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9.90488102215893E-3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5.6613285166209437E-4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2751.3558394885918</v>
      </c>
      <c r="H54" s="21">
        <f t="shared" si="3"/>
        <v>0</v>
      </c>
      <c r="I54" s="21">
        <f t="shared" si="3"/>
        <v>0</v>
      </c>
      <c r="J54" s="21">
        <f t="shared" si="3"/>
        <v>0</v>
      </c>
      <c r="K54" s="21">
        <f t="shared" si="3"/>
        <v>0</v>
      </c>
      <c r="L54" s="21">
        <f t="shared" si="3"/>
        <v>0</v>
      </c>
      <c r="M54" s="21">
        <f t="shared" si="3"/>
        <v>157.25912546169289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0.20802350115396043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734.61200914345409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83818.509000000005</v>
      </c>
      <c r="D10" s="991">
        <f ca="1">tertiair!C16</f>
        <v>17.678571428571431</v>
      </c>
      <c r="E10" s="991">
        <f ca="1">tertiair!D16</f>
        <v>93033.176229362216</v>
      </c>
      <c r="F10" s="991">
        <f>tertiair!E16</f>
        <v>750.99320212717214</v>
      </c>
      <c r="G10" s="991">
        <f ca="1">tertiair!F16</f>
        <v>12048.657339771882</v>
      </c>
      <c r="H10" s="991">
        <f>tertiair!G16</f>
        <v>0</v>
      </c>
      <c r="I10" s="991">
        <f>tertiair!H16</f>
        <v>0</v>
      </c>
      <c r="J10" s="991">
        <f>tertiair!I16</f>
        <v>0</v>
      </c>
      <c r="K10" s="991">
        <f>tertiair!J16</f>
        <v>0</v>
      </c>
      <c r="L10" s="991">
        <f>tertiair!K16</f>
        <v>0</v>
      </c>
      <c r="M10" s="991">
        <f ca="1">tertiair!L16</f>
        <v>0</v>
      </c>
      <c r="N10" s="991">
        <f>tertiair!M16</f>
        <v>0</v>
      </c>
      <c r="O10" s="991">
        <f ca="1">tertiair!N16</f>
        <v>6442.8342326822485</v>
      </c>
      <c r="P10" s="991">
        <f>tertiair!O16</f>
        <v>6.2533333333333339</v>
      </c>
      <c r="Q10" s="992">
        <f>tertiair!P16</f>
        <v>0</v>
      </c>
      <c r="R10" s="675">
        <f ca="1">SUM(C10:Q10)</f>
        <v>196118.10190870543</v>
      </c>
      <c r="S10" s="67"/>
    </row>
    <row r="11" spans="1:19" s="448" customFormat="1">
      <c r="A11" s="784" t="s">
        <v>224</v>
      </c>
      <c r="B11" s="789"/>
      <c r="C11" s="991">
        <f>huishoudens!B8</f>
        <v>63398.653876395583</v>
      </c>
      <c r="D11" s="991">
        <f>huishoudens!C8</f>
        <v>0</v>
      </c>
      <c r="E11" s="991">
        <f>huishoudens!D8</f>
        <v>115439.47984381043</v>
      </c>
      <c r="F11" s="991">
        <f>huishoudens!E8</f>
        <v>22333.327825469602</v>
      </c>
      <c r="G11" s="991">
        <f>huishoudens!F8</f>
        <v>60169.411348942216</v>
      </c>
      <c r="H11" s="991">
        <f>huishoudens!G8</f>
        <v>0</v>
      </c>
      <c r="I11" s="991">
        <f>huishoudens!H8</f>
        <v>0</v>
      </c>
      <c r="J11" s="991">
        <f>huishoudens!I8</f>
        <v>0</v>
      </c>
      <c r="K11" s="991">
        <f>huishoudens!J8</f>
        <v>0</v>
      </c>
      <c r="L11" s="991">
        <f>huishoudens!K8</f>
        <v>0</v>
      </c>
      <c r="M11" s="991">
        <f>huishoudens!L8</f>
        <v>0</v>
      </c>
      <c r="N11" s="991">
        <f>huishoudens!M8</f>
        <v>0</v>
      </c>
      <c r="O11" s="991">
        <f>huishoudens!N8</f>
        <v>31780.692686824299</v>
      </c>
      <c r="P11" s="991">
        <f>huishoudens!O8</f>
        <v>664.41666666666663</v>
      </c>
      <c r="Q11" s="992">
        <f>huishoudens!P8</f>
        <v>1982.9333333333334</v>
      </c>
      <c r="R11" s="675">
        <f>SUM(C11:Q11)</f>
        <v>295768.91558144218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61351.040301000001</v>
      </c>
      <c r="D13" s="991">
        <f>industrie!C18</f>
        <v>0</v>
      </c>
      <c r="E13" s="991">
        <f>industrie!D18</f>
        <v>16209.738059419658</v>
      </c>
      <c r="F13" s="991">
        <f>industrie!E18</f>
        <v>4101.7693823234558</v>
      </c>
      <c r="G13" s="991">
        <f>industrie!F18</f>
        <v>18341.16304940667</v>
      </c>
      <c r="H13" s="991">
        <f>industrie!G18</f>
        <v>0</v>
      </c>
      <c r="I13" s="991">
        <f>industrie!H18</f>
        <v>0</v>
      </c>
      <c r="J13" s="991">
        <f>industrie!I18</f>
        <v>0</v>
      </c>
      <c r="K13" s="991">
        <f>industrie!J18</f>
        <v>244.73559298708264</v>
      </c>
      <c r="L13" s="991">
        <f>industrie!K18</f>
        <v>0</v>
      </c>
      <c r="M13" s="991">
        <f>industrie!L18</f>
        <v>0</v>
      </c>
      <c r="N13" s="991">
        <f>industrie!M18</f>
        <v>0</v>
      </c>
      <c r="O13" s="991">
        <f>industrie!N18</f>
        <v>3825.9861222842464</v>
      </c>
      <c r="P13" s="991">
        <f>industrie!O18</f>
        <v>0</v>
      </c>
      <c r="Q13" s="992">
        <f>industrie!P18</f>
        <v>0</v>
      </c>
      <c r="R13" s="675">
        <f>SUM(C13:Q13)</f>
        <v>104074.43250742112</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208568.2031773956</v>
      </c>
      <c r="D16" s="707">
        <f t="shared" ref="D16:R16" ca="1" si="0">SUM(D9:D15)</f>
        <v>17.678571428571431</v>
      </c>
      <c r="E16" s="707">
        <f t="shared" ca="1" si="0"/>
        <v>224682.39413259231</v>
      </c>
      <c r="F16" s="707">
        <f t="shared" si="0"/>
        <v>27186.090409920227</v>
      </c>
      <c r="G16" s="707">
        <f t="shared" ca="1" si="0"/>
        <v>90559.231738120754</v>
      </c>
      <c r="H16" s="707">
        <f t="shared" si="0"/>
        <v>0</v>
      </c>
      <c r="I16" s="707">
        <f t="shared" si="0"/>
        <v>0</v>
      </c>
      <c r="J16" s="707">
        <f t="shared" si="0"/>
        <v>0</v>
      </c>
      <c r="K16" s="707">
        <f t="shared" si="0"/>
        <v>244.73559298708264</v>
      </c>
      <c r="L16" s="707">
        <f t="shared" si="0"/>
        <v>0</v>
      </c>
      <c r="M16" s="707">
        <f t="shared" ca="1" si="0"/>
        <v>0</v>
      </c>
      <c r="N16" s="707">
        <f t="shared" si="0"/>
        <v>0</v>
      </c>
      <c r="O16" s="707">
        <f t="shared" ca="1" si="0"/>
        <v>42049.513041790793</v>
      </c>
      <c r="P16" s="707">
        <f t="shared" si="0"/>
        <v>670.67</v>
      </c>
      <c r="Q16" s="707">
        <f t="shared" si="0"/>
        <v>1982.9333333333334</v>
      </c>
      <c r="R16" s="707">
        <f t="shared" ca="1" si="0"/>
        <v>595961.44999756874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2751.3558394885918</v>
      </c>
      <c r="I19" s="991">
        <f>transport!H54</f>
        <v>0</v>
      </c>
      <c r="J19" s="991">
        <f>transport!I54</f>
        <v>0</v>
      </c>
      <c r="K19" s="991">
        <f>transport!J54</f>
        <v>0</v>
      </c>
      <c r="L19" s="991">
        <f>transport!K54</f>
        <v>0</v>
      </c>
      <c r="M19" s="991">
        <f>transport!L54</f>
        <v>0</v>
      </c>
      <c r="N19" s="991">
        <f>transport!M54</f>
        <v>157.25912546169289</v>
      </c>
      <c r="O19" s="991">
        <f>transport!N54</f>
        <v>0</v>
      </c>
      <c r="P19" s="991">
        <f>transport!O54</f>
        <v>0</v>
      </c>
      <c r="Q19" s="992">
        <f>transport!P54</f>
        <v>0</v>
      </c>
      <c r="R19" s="675">
        <f>SUM(C19:Q19)</f>
        <v>2908.6149649502845</v>
      </c>
      <c r="S19" s="67"/>
    </row>
    <row r="20" spans="1:19" s="448" customFormat="1">
      <c r="A20" s="784" t="s">
        <v>306</v>
      </c>
      <c r="B20" s="789"/>
      <c r="C20" s="991">
        <f>transport!B14</f>
        <v>28.521673470810057</v>
      </c>
      <c r="D20" s="991">
        <f>transport!C14</f>
        <v>0</v>
      </c>
      <c r="E20" s="991">
        <f>transport!D14</f>
        <v>56.706554750574654</v>
      </c>
      <c r="F20" s="991">
        <f>transport!E14</f>
        <v>560.86197613482443</v>
      </c>
      <c r="G20" s="991">
        <f>transport!F14</f>
        <v>0</v>
      </c>
      <c r="H20" s="991">
        <f>transport!G14</f>
        <v>209098.91328303854</v>
      </c>
      <c r="I20" s="991">
        <f>transport!H14</f>
        <v>34619.347141860431</v>
      </c>
      <c r="J20" s="991">
        <f>transport!I14</f>
        <v>0</v>
      </c>
      <c r="K20" s="991">
        <f>transport!J14</f>
        <v>0</v>
      </c>
      <c r="L20" s="991">
        <f>transport!K14</f>
        <v>0</v>
      </c>
      <c r="M20" s="991">
        <f>transport!L14</f>
        <v>0</v>
      </c>
      <c r="N20" s="991">
        <f>transport!M14</f>
        <v>13178.948556754714</v>
      </c>
      <c r="O20" s="991">
        <f>transport!N14</f>
        <v>0</v>
      </c>
      <c r="P20" s="991">
        <f>transport!O14</f>
        <v>0</v>
      </c>
      <c r="Q20" s="992">
        <f>transport!P14</f>
        <v>0</v>
      </c>
      <c r="R20" s="675">
        <f>SUM(C20:Q20)</f>
        <v>257543.29918600988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28.521673470810057</v>
      </c>
      <c r="D22" s="787">
        <f t="shared" ref="D22:R22" si="1">SUM(D18:D21)</f>
        <v>0</v>
      </c>
      <c r="E22" s="787">
        <f t="shared" si="1"/>
        <v>56.706554750574654</v>
      </c>
      <c r="F22" s="787">
        <f t="shared" si="1"/>
        <v>560.86197613482443</v>
      </c>
      <c r="G22" s="787">
        <f t="shared" si="1"/>
        <v>0</v>
      </c>
      <c r="H22" s="787">
        <f t="shared" si="1"/>
        <v>211850.26912252713</v>
      </c>
      <c r="I22" s="787">
        <f t="shared" si="1"/>
        <v>34619.347141860431</v>
      </c>
      <c r="J22" s="787">
        <f t="shared" si="1"/>
        <v>0</v>
      </c>
      <c r="K22" s="787">
        <f t="shared" si="1"/>
        <v>0</v>
      </c>
      <c r="L22" s="787">
        <f t="shared" si="1"/>
        <v>0</v>
      </c>
      <c r="M22" s="787">
        <f t="shared" si="1"/>
        <v>0</v>
      </c>
      <c r="N22" s="787">
        <f t="shared" si="1"/>
        <v>13336.207682216407</v>
      </c>
      <c r="O22" s="787">
        <f t="shared" si="1"/>
        <v>0</v>
      </c>
      <c r="P22" s="787">
        <f t="shared" si="1"/>
        <v>0</v>
      </c>
      <c r="Q22" s="787">
        <f t="shared" si="1"/>
        <v>0</v>
      </c>
      <c r="R22" s="787">
        <f t="shared" si="1"/>
        <v>260451.91415096016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1282.798</v>
      </c>
      <c r="D24" s="991">
        <f>+landbouw!C8</f>
        <v>0</v>
      </c>
      <c r="E24" s="991">
        <f>+landbouw!D8</f>
        <v>124.7660445403702</v>
      </c>
      <c r="F24" s="991">
        <f>+landbouw!E8</f>
        <v>11.881812361190685</v>
      </c>
      <c r="G24" s="991">
        <f>+landbouw!F8</f>
        <v>3254.7028987682193</v>
      </c>
      <c r="H24" s="991">
        <f>+landbouw!G8</f>
        <v>0</v>
      </c>
      <c r="I24" s="991">
        <f>+landbouw!H8</f>
        <v>0</v>
      </c>
      <c r="J24" s="991">
        <f>+landbouw!I8</f>
        <v>0</v>
      </c>
      <c r="K24" s="991">
        <f>+landbouw!J8</f>
        <v>196.6672494674628</v>
      </c>
      <c r="L24" s="991">
        <f>+landbouw!K8</f>
        <v>0</v>
      </c>
      <c r="M24" s="991">
        <f>+landbouw!L8</f>
        <v>0</v>
      </c>
      <c r="N24" s="991">
        <f>+landbouw!M8</f>
        <v>0</v>
      </c>
      <c r="O24" s="991">
        <f>+landbouw!N8</f>
        <v>0</v>
      </c>
      <c r="P24" s="991">
        <f>+landbouw!O8</f>
        <v>0</v>
      </c>
      <c r="Q24" s="992">
        <f>+landbouw!P8</f>
        <v>0</v>
      </c>
      <c r="R24" s="675">
        <f>SUM(C24:Q24)</f>
        <v>4870.8160051372433</v>
      </c>
      <c r="S24" s="67"/>
    </row>
    <row r="25" spans="1:19" s="448" customFormat="1" ht="15" thickBot="1">
      <c r="A25" s="806" t="s">
        <v>849</v>
      </c>
      <c r="B25" s="994"/>
      <c r="C25" s="995">
        <f>IF(Onbekend_ele_kWh="---",0,Onbekend_ele_kWh)/1000+IF(REST_rest_ele_kWh="---",0,REST_rest_ele_kWh)/1000</f>
        <v>3887.6990000000001</v>
      </c>
      <c r="D25" s="995"/>
      <c r="E25" s="995">
        <f>IF(onbekend_gas_kWh="---",0,onbekend_gas_kWh)/1000+IF(REST_rest_gas_kWh="---",0,REST_rest_gas_kWh)/1000</f>
        <v>6309.22101247098</v>
      </c>
      <c r="F25" s="995"/>
      <c r="G25" s="995"/>
      <c r="H25" s="995"/>
      <c r="I25" s="995"/>
      <c r="J25" s="995"/>
      <c r="K25" s="995"/>
      <c r="L25" s="995"/>
      <c r="M25" s="995"/>
      <c r="N25" s="995"/>
      <c r="O25" s="995"/>
      <c r="P25" s="995"/>
      <c r="Q25" s="996"/>
      <c r="R25" s="675">
        <f>SUM(C25:Q25)</f>
        <v>10196.920012470981</v>
      </c>
      <c r="S25" s="67"/>
    </row>
    <row r="26" spans="1:19" s="448" customFormat="1" ht="15.75" thickBot="1">
      <c r="A26" s="680" t="s">
        <v>850</v>
      </c>
      <c r="B26" s="792"/>
      <c r="C26" s="787">
        <f>SUM(C24:C25)</f>
        <v>5170.4970000000003</v>
      </c>
      <c r="D26" s="787">
        <f t="shared" ref="D26:R26" si="2">SUM(D24:D25)</f>
        <v>0</v>
      </c>
      <c r="E26" s="787">
        <f t="shared" si="2"/>
        <v>6433.9870570113499</v>
      </c>
      <c r="F26" s="787">
        <f t="shared" si="2"/>
        <v>11.881812361190685</v>
      </c>
      <c r="G26" s="787">
        <f t="shared" si="2"/>
        <v>3254.7028987682193</v>
      </c>
      <c r="H26" s="787">
        <f t="shared" si="2"/>
        <v>0</v>
      </c>
      <c r="I26" s="787">
        <f t="shared" si="2"/>
        <v>0</v>
      </c>
      <c r="J26" s="787">
        <f t="shared" si="2"/>
        <v>0</v>
      </c>
      <c r="K26" s="787">
        <f t="shared" si="2"/>
        <v>196.6672494674628</v>
      </c>
      <c r="L26" s="787">
        <f t="shared" si="2"/>
        <v>0</v>
      </c>
      <c r="M26" s="787">
        <f t="shared" si="2"/>
        <v>0</v>
      </c>
      <c r="N26" s="787">
        <f t="shared" si="2"/>
        <v>0</v>
      </c>
      <c r="O26" s="787">
        <f t="shared" si="2"/>
        <v>0</v>
      </c>
      <c r="P26" s="787">
        <f t="shared" si="2"/>
        <v>0</v>
      </c>
      <c r="Q26" s="787">
        <f t="shared" si="2"/>
        <v>0</v>
      </c>
      <c r="R26" s="787">
        <f t="shared" si="2"/>
        <v>15067.736017608224</v>
      </c>
      <c r="S26" s="67"/>
    </row>
    <row r="27" spans="1:19" s="448" customFormat="1" ht="17.25" thickTop="1" thickBot="1">
      <c r="A27" s="681" t="s">
        <v>115</v>
      </c>
      <c r="B27" s="780"/>
      <c r="C27" s="682">
        <f ca="1">C22+C16+C26</f>
        <v>213767.22185086642</v>
      </c>
      <c r="D27" s="682">
        <f t="shared" ref="D27:R27" ca="1" si="3">D22+D16+D26</f>
        <v>17.678571428571431</v>
      </c>
      <c r="E27" s="682">
        <f t="shared" ca="1" si="3"/>
        <v>231173.08774435421</v>
      </c>
      <c r="F27" s="682">
        <f t="shared" si="3"/>
        <v>27758.83419841624</v>
      </c>
      <c r="G27" s="682">
        <f t="shared" ca="1" si="3"/>
        <v>93813.934636888967</v>
      </c>
      <c r="H27" s="682">
        <f t="shared" si="3"/>
        <v>211850.26912252713</v>
      </c>
      <c r="I27" s="682">
        <f t="shared" si="3"/>
        <v>34619.347141860431</v>
      </c>
      <c r="J27" s="682">
        <f t="shared" si="3"/>
        <v>0</v>
      </c>
      <c r="K27" s="682">
        <f t="shared" si="3"/>
        <v>441.40284245454541</v>
      </c>
      <c r="L27" s="682">
        <f t="shared" si="3"/>
        <v>0</v>
      </c>
      <c r="M27" s="682">
        <f t="shared" ca="1" si="3"/>
        <v>0</v>
      </c>
      <c r="N27" s="682">
        <f t="shared" si="3"/>
        <v>13336.207682216407</v>
      </c>
      <c r="O27" s="682">
        <f t="shared" ca="1" si="3"/>
        <v>42049.513041790793</v>
      </c>
      <c r="P27" s="682">
        <f t="shared" si="3"/>
        <v>670.67</v>
      </c>
      <c r="Q27" s="682">
        <f t="shared" si="3"/>
        <v>1982.9333333333334</v>
      </c>
      <c r="R27" s="682">
        <f t="shared" ca="1" si="3"/>
        <v>871481.1001661371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17436.219703684743</v>
      </c>
      <c r="D40" s="991">
        <f ca="1">tertiair!C20</f>
        <v>4.2012605042016817</v>
      </c>
      <c r="E40" s="991">
        <f ca="1">tertiair!D20</f>
        <v>18792.701598331168</v>
      </c>
      <c r="F40" s="991">
        <f>tertiair!E20</f>
        <v>170.47545688286809</v>
      </c>
      <c r="G40" s="991">
        <f ca="1">tertiair!F20</f>
        <v>3216.9915097190928</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39620.589529122066</v>
      </c>
    </row>
    <row r="41" spans="1:18">
      <c r="A41" s="797" t="s">
        <v>224</v>
      </c>
      <c r="B41" s="804"/>
      <c r="C41" s="991">
        <f ca="1">huishoudens!B12</f>
        <v>13188.409947815915</v>
      </c>
      <c r="D41" s="991">
        <f ca="1">huishoudens!C12</f>
        <v>0</v>
      </c>
      <c r="E41" s="991">
        <f>huishoudens!D12</f>
        <v>23318.774928449708</v>
      </c>
      <c r="F41" s="991">
        <f>huishoudens!E12</f>
        <v>5069.6654163816002</v>
      </c>
      <c r="G41" s="991">
        <f>huishoudens!F12</f>
        <v>16065.232830167573</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57642.083122814794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12762.458202851747</v>
      </c>
      <c r="D43" s="991">
        <f ca="1">industrie!C22</f>
        <v>0</v>
      </c>
      <c r="E43" s="991">
        <f>industrie!D22</f>
        <v>3274.3670880027712</v>
      </c>
      <c r="F43" s="991">
        <f>industrie!E22</f>
        <v>931.10164978742455</v>
      </c>
      <c r="G43" s="991">
        <f>industrie!F22</f>
        <v>4897.0905341915814</v>
      </c>
      <c r="H43" s="991">
        <f>industrie!G22</f>
        <v>0</v>
      </c>
      <c r="I43" s="991">
        <f>industrie!H22</f>
        <v>0</v>
      </c>
      <c r="J43" s="991">
        <f>industrie!I22</f>
        <v>0</v>
      </c>
      <c r="K43" s="991">
        <f>industrie!J22</f>
        <v>86.636399917427255</v>
      </c>
      <c r="L43" s="991">
        <f>industrie!K22</f>
        <v>0</v>
      </c>
      <c r="M43" s="991">
        <f>industrie!L22</f>
        <v>0</v>
      </c>
      <c r="N43" s="991">
        <f>industrie!M22</f>
        <v>0</v>
      </c>
      <c r="O43" s="991">
        <f>industrie!N22</f>
        <v>0</v>
      </c>
      <c r="P43" s="991">
        <f>industrie!O22</f>
        <v>0</v>
      </c>
      <c r="Q43" s="749">
        <f>industrie!P22</f>
        <v>0</v>
      </c>
      <c r="R43" s="824">
        <f t="shared" ca="1" si="4"/>
        <v>21951.653874750955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43387.087854352401</v>
      </c>
      <c r="D46" s="707">
        <f t="shared" ref="D46:Q46" ca="1" si="5">SUM(D39:D45)</f>
        <v>4.2012605042016817</v>
      </c>
      <c r="E46" s="707">
        <f t="shared" ca="1" si="5"/>
        <v>45385.843614783647</v>
      </c>
      <c r="F46" s="707">
        <f t="shared" si="5"/>
        <v>6171.2425230518929</v>
      </c>
      <c r="G46" s="707">
        <f t="shared" ca="1" si="5"/>
        <v>24179.314874078249</v>
      </c>
      <c r="H46" s="707">
        <f t="shared" si="5"/>
        <v>0</v>
      </c>
      <c r="I46" s="707">
        <f t="shared" si="5"/>
        <v>0</v>
      </c>
      <c r="J46" s="707">
        <f t="shared" si="5"/>
        <v>0</v>
      </c>
      <c r="K46" s="707">
        <f t="shared" si="5"/>
        <v>86.636399917427255</v>
      </c>
      <c r="L46" s="707">
        <f t="shared" si="5"/>
        <v>0</v>
      </c>
      <c r="M46" s="707">
        <f t="shared" ca="1" si="5"/>
        <v>0</v>
      </c>
      <c r="N46" s="707">
        <f t="shared" si="5"/>
        <v>0</v>
      </c>
      <c r="O46" s="707">
        <f t="shared" ca="1" si="5"/>
        <v>0</v>
      </c>
      <c r="P46" s="707">
        <f t="shared" si="5"/>
        <v>0</v>
      </c>
      <c r="Q46" s="707">
        <f t="shared" si="5"/>
        <v>0</v>
      </c>
      <c r="R46" s="707">
        <f ca="1">SUM(R39:R45)</f>
        <v>119214.3265266878</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734.61200914345409</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734.61200914345409</v>
      </c>
    </row>
    <row r="50" spans="1:18">
      <c r="A50" s="800" t="s">
        <v>306</v>
      </c>
      <c r="B50" s="810"/>
      <c r="C50" s="678">
        <f ca="1">transport!B18</f>
        <v>5.9331783741679383</v>
      </c>
      <c r="D50" s="678">
        <f>transport!C18</f>
        <v>0</v>
      </c>
      <c r="E50" s="678">
        <f>transport!D18</f>
        <v>11.454724059616082</v>
      </c>
      <c r="F50" s="678">
        <f>transport!E18</f>
        <v>127.31566858260516</v>
      </c>
      <c r="G50" s="678">
        <f>transport!F18</f>
        <v>0</v>
      </c>
      <c r="H50" s="678">
        <f>transport!G18</f>
        <v>55829.409846571289</v>
      </c>
      <c r="I50" s="678">
        <f>transport!H18</f>
        <v>8620.2174383232468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64594.330855910928</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5.9331783741679383</v>
      </c>
      <c r="D52" s="707">
        <f t="shared" ref="D52:Q52" ca="1" si="6">SUM(D48:D51)</f>
        <v>0</v>
      </c>
      <c r="E52" s="707">
        <f t="shared" si="6"/>
        <v>11.454724059616082</v>
      </c>
      <c r="F52" s="707">
        <f t="shared" si="6"/>
        <v>127.31566858260516</v>
      </c>
      <c r="G52" s="707">
        <f t="shared" si="6"/>
        <v>0</v>
      </c>
      <c r="H52" s="707">
        <f t="shared" si="6"/>
        <v>56564.021855714745</v>
      </c>
      <c r="I52" s="707">
        <f t="shared" si="6"/>
        <v>8620.2174383232468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65328.942865054385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266.85213123329811</v>
      </c>
      <c r="D54" s="678">
        <f ca="1">+landbouw!C12</f>
        <v>0</v>
      </c>
      <c r="E54" s="678">
        <f>+landbouw!D12</f>
        <v>25.202740997154784</v>
      </c>
      <c r="F54" s="678">
        <f>+landbouw!E12</f>
        <v>2.6971714059902854</v>
      </c>
      <c r="G54" s="678">
        <f>+landbouw!F12</f>
        <v>869.00567397111456</v>
      </c>
      <c r="H54" s="678">
        <f>+landbouw!G12</f>
        <v>0</v>
      </c>
      <c r="I54" s="678">
        <f>+landbouw!H12</f>
        <v>0</v>
      </c>
      <c r="J54" s="678">
        <f>+landbouw!I12</f>
        <v>0</v>
      </c>
      <c r="K54" s="678">
        <f>+landbouw!J12</f>
        <v>69.620206311481823</v>
      </c>
      <c r="L54" s="678">
        <f>+landbouw!K12</f>
        <v>0</v>
      </c>
      <c r="M54" s="678">
        <f>+landbouw!L12</f>
        <v>0</v>
      </c>
      <c r="N54" s="678">
        <f>+landbouw!M12</f>
        <v>0</v>
      </c>
      <c r="O54" s="678">
        <f>+landbouw!N12</f>
        <v>0</v>
      </c>
      <c r="P54" s="678">
        <f>+landbouw!O12</f>
        <v>0</v>
      </c>
      <c r="Q54" s="679">
        <f>+landbouw!P12</f>
        <v>0</v>
      </c>
      <c r="R54" s="706">
        <f ca="1">SUM(C54:Q54)</f>
        <v>1233.3779239190394</v>
      </c>
    </row>
    <row r="55" spans="1:18" ht="15" thickBot="1">
      <c r="A55" s="800" t="s">
        <v>849</v>
      </c>
      <c r="B55" s="810"/>
      <c r="C55" s="678">
        <f ca="1">C25*'EF ele_warmte'!B12</f>
        <v>808.73275741275086</v>
      </c>
      <c r="D55" s="678"/>
      <c r="E55" s="678">
        <f>E25*EF_CO2_aardgas</f>
        <v>1274.4626445191379</v>
      </c>
      <c r="F55" s="678"/>
      <c r="G55" s="678"/>
      <c r="H55" s="678"/>
      <c r="I55" s="678"/>
      <c r="J55" s="678"/>
      <c r="K55" s="678"/>
      <c r="L55" s="678"/>
      <c r="M55" s="678"/>
      <c r="N55" s="678"/>
      <c r="O55" s="678"/>
      <c r="P55" s="678"/>
      <c r="Q55" s="679"/>
      <c r="R55" s="706">
        <f ca="1">SUM(C55:Q55)</f>
        <v>2083.1954019318887</v>
      </c>
    </row>
    <row r="56" spans="1:18" ht="15.75" thickBot="1">
      <c r="A56" s="798" t="s">
        <v>850</v>
      </c>
      <c r="B56" s="811"/>
      <c r="C56" s="707">
        <f ca="1">SUM(C54:C55)</f>
        <v>1075.584888646049</v>
      </c>
      <c r="D56" s="707">
        <f t="shared" ref="D56:Q56" ca="1" si="7">SUM(D54:D55)</f>
        <v>0</v>
      </c>
      <c r="E56" s="707">
        <f t="shared" si="7"/>
        <v>1299.6653855162926</v>
      </c>
      <c r="F56" s="707">
        <f t="shared" si="7"/>
        <v>2.6971714059902854</v>
      </c>
      <c r="G56" s="707">
        <f t="shared" si="7"/>
        <v>869.00567397111456</v>
      </c>
      <c r="H56" s="707">
        <f t="shared" si="7"/>
        <v>0</v>
      </c>
      <c r="I56" s="707">
        <f t="shared" si="7"/>
        <v>0</v>
      </c>
      <c r="J56" s="707">
        <f t="shared" si="7"/>
        <v>0</v>
      </c>
      <c r="K56" s="707">
        <f t="shared" si="7"/>
        <v>69.620206311481823</v>
      </c>
      <c r="L56" s="707">
        <f t="shared" si="7"/>
        <v>0</v>
      </c>
      <c r="M56" s="707">
        <f t="shared" si="7"/>
        <v>0</v>
      </c>
      <c r="N56" s="707">
        <f t="shared" si="7"/>
        <v>0</v>
      </c>
      <c r="O56" s="707">
        <f t="shared" si="7"/>
        <v>0</v>
      </c>
      <c r="P56" s="707">
        <f t="shared" si="7"/>
        <v>0</v>
      </c>
      <c r="Q56" s="708">
        <f t="shared" si="7"/>
        <v>0</v>
      </c>
      <c r="R56" s="709">
        <f ca="1">SUM(R54:R55)</f>
        <v>3316.5733258509281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44468.605921372618</v>
      </c>
      <c r="D61" s="715">
        <f t="shared" ref="D61:Q61" ca="1" si="8">D46+D52+D56</f>
        <v>4.2012605042016817</v>
      </c>
      <c r="E61" s="715">
        <f t="shared" ca="1" si="8"/>
        <v>46696.963724359557</v>
      </c>
      <c r="F61" s="715">
        <f t="shared" si="8"/>
        <v>6301.2553630404882</v>
      </c>
      <c r="G61" s="715">
        <f t="shared" ca="1" si="8"/>
        <v>25048.320548049363</v>
      </c>
      <c r="H61" s="715">
        <f t="shared" si="8"/>
        <v>56564.021855714745</v>
      </c>
      <c r="I61" s="715">
        <f t="shared" si="8"/>
        <v>8620.2174383232468</v>
      </c>
      <c r="J61" s="715">
        <f t="shared" si="8"/>
        <v>0</v>
      </c>
      <c r="K61" s="715">
        <f t="shared" si="8"/>
        <v>156.25660622890908</v>
      </c>
      <c r="L61" s="715">
        <f t="shared" si="8"/>
        <v>0</v>
      </c>
      <c r="M61" s="715">
        <f t="shared" ca="1" si="8"/>
        <v>0</v>
      </c>
      <c r="N61" s="715">
        <f t="shared" si="8"/>
        <v>0</v>
      </c>
      <c r="O61" s="715">
        <f t="shared" ca="1" si="8"/>
        <v>0</v>
      </c>
      <c r="P61" s="715">
        <f t="shared" si="8"/>
        <v>0</v>
      </c>
      <c r="Q61" s="715">
        <f t="shared" si="8"/>
        <v>0</v>
      </c>
      <c r="R61" s="715">
        <f ca="1">R46+R52+R56</f>
        <v>187859.84271759313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0.2080235011539604</v>
      </c>
      <c r="D63" s="756">
        <f t="shared" ca="1" si="9"/>
        <v>0.23764705882352943</v>
      </c>
      <c r="E63" s="1002">
        <f t="shared" ca="1" si="9"/>
        <v>0.20200000000000004</v>
      </c>
      <c r="F63" s="756">
        <f t="shared" si="9"/>
        <v>0.22700000000000006</v>
      </c>
      <c r="G63" s="756">
        <f t="shared" ca="1" si="9"/>
        <v>0.26700000000000007</v>
      </c>
      <c r="H63" s="756">
        <f t="shared" si="9"/>
        <v>0.26700000000000002</v>
      </c>
      <c r="I63" s="756">
        <f t="shared" si="9"/>
        <v>0.24899999999999997</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12552.742601908594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12.375</v>
      </c>
      <c r="D76" s="1012">
        <f>'lokale energieproductie'!C8</f>
        <v>14.558823529411766</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2.9408823529411769</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12552.742601908594</v>
      </c>
      <c r="C78" s="730">
        <f>SUM(C72:C77)</f>
        <v>12.375</v>
      </c>
      <c r="D78" s="731">
        <f t="shared" ref="D78:H78" si="10">SUM(D76:D77)</f>
        <v>14.558823529411766</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2.9408823529411769</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17.678571428571431</v>
      </c>
      <c r="D87" s="752">
        <f>'lokale energieproductie'!C17</f>
        <v>20.798319327731097</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4.2012605042016817</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17.678571428571431</v>
      </c>
      <c r="D90" s="730">
        <f t="shared" ref="D90:H90" si="12">SUM(D87:D89)</f>
        <v>20.798319327731097</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4.2012605042016817</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12552.742601908594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12.375</v>
      </c>
      <c r="C8" s="545">
        <f>B48</f>
        <v>14.558823529411766</v>
      </c>
      <c r="D8" s="1022"/>
      <c r="E8" s="1022">
        <f>E48</f>
        <v>0</v>
      </c>
      <c r="F8" s="1023"/>
      <c r="G8" s="546"/>
      <c r="H8" s="1022">
        <f>I48</f>
        <v>0</v>
      </c>
      <c r="I8" s="1022">
        <f>G48+F48</f>
        <v>0</v>
      </c>
      <c r="J8" s="1022">
        <f>H48+D48+C48</f>
        <v>0</v>
      </c>
      <c r="K8" s="1022"/>
      <c r="L8" s="1022"/>
      <c r="M8" s="1022"/>
      <c r="N8" s="547"/>
      <c r="O8" s="548">
        <f>C8*$C$12+D8*$D$12+E8*$E$12+F8*$F$12+G8*$G$12+H8*$H$12+I8*$I$12+J8*$J$12</f>
        <v>2.9408823529411769</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12565.117601908594</v>
      </c>
      <c r="C10" s="558">
        <f t="shared" ref="C10:L10" si="0">SUM(C8:C9)</f>
        <v>14.558823529411766</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2.9408823529411769</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17.678571428571431</v>
      </c>
      <c r="C17" s="570">
        <f>B49</f>
        <v>20.798319327731097</v>
      </c>
      <c r="D17" s="571"/>
      <c r="E17" s="571">
        <f>E49</f>
        <v>0</v>
      </c>
      <c r="F17" s="1028"/>
      <c r="G17" s="572"/>
      <c r="H17" s="570">
        <f>I49</f>
        <v>0</v>
      </c>
      <c r="I17" s="571">
        <f>G49+F49</f>
        <v>0</v>
      </c>
      <c r="J17" s="571">
        <f>H49+D49+C49</f>
        <v>0</v>
      </c>
      <c r="K17" s="571"/>
      <c r="L17" s="571"/>
      <c r="M17" s="571"/>
      <c r="N17" s="1029"/>
      <c r="O17" s="573">
        <f>C17*$C$22+E17*$E$22+H17*$H$22+I17*$I$22+J17*$J$22+D17*$D$22+F17*$F$22+G17*$G$22+K17*$K$22+L17*$L$22</f>
        <v>4.2012605042016817</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17.678571428571431</v>
      </c>
      <c r="C20" s="557">
        <f>SUM(C17:C19)</f>
        <v>20.798319327731097</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4.2012605042016817</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13025</v>
      </c>
      <c r="C28" s="771">
        <v>2400</v>
      </c>
      <c r="D28" s="628" t="s">
        <v>913</v>
      </c>
      <c r="E28" s="627" t="s">
        <v>914</v>
      </c>
      <c r="F28" s="627" t="s">
        <v>915</v>
      </c>
      <c r="G28" s="627" t="s">
        <v>916</v>
      </c>
      <c r="H28" s="627" t="s">
        <v>917</v>
      </c>
      <c r="I28" s="627" t="s">
        <v>914</v>
      </c>
      <c r="J28" s="770">
        <v>41814</v>
      </c>
      <c r="K28" s="770">
        <v>41814</v>
      </c>
      <c r="L28" s="627" t="s">
        <v>918</v>
      </c>
      <c r="M28" s="627">
        <v>5.5</v>
      </c>
      <c r="N28" s="627">
        <v>12.375</v>
      </c>
      <c r="O28" s="627">
        <v>17.678571428571431</v>
      </c>
      <c r="P28" s="627">
        <v>35.357142857142861</v>
      </c>
      <c r="Q28" s="627">
        <v>0</v>
      </c>
      <c r="R28" s="627">
        <v>0</v>
      </c>
      <c r="S28" s="627">
        <v>0</v>
      </c>
      <c r="T28" s="627">
        <v>0</v>
      </c>
      <c r="U28" s="627">
        <v>0</v>
      </c>
      <c r="V28" s="627">
        <v>0</v>
      </c>
      <c r="W28" s="627">
        <v>0</v>
      </c>
      <c r="X28" s="627">
        <v>1300</v>
      </c>
      <c r="Y28" s="627" t="s">
        <v>53</v>
      </c>
      <c r="Z28" s="629" t="s">
        <v>155</v>
      </c>
    </row>
    <row r="29" spans="1:26" s="565" customFormat="1">
      <c r="A29" s="583" t="s">
        <v>279</v>
      </c>
      <c r="B29" s="584"/>
      <c r="C29" s="584"/>
      <c r="D29" s="584"/>
      <c r="E29" s="584"/>
      <c r="F29" s="584"/>
      <c r="G29" s="584"/>
      <c r="H29" s="584"/>
      <c r="I29" s="584"/>
      <c r="J29" s="584"/>
      <c r="K29" s="584"/>
      <c r="L29" s="585"/>
      <c r="M29" s="585">
        <f>SUM(M28:M28)</f>
        <v>5.5</v>
      </c>
      <c r="N29" s="585">
        <f>SUM(N28:N28)</f>
        <v>12.375</v>
      </c>
      <c r="O29" s="585">
        <f>SUM(O28:O28)</f>
        <v>17.678571428571431</v>
      </c>
      <c r="P29" s="585">
        <f>SUM(P28:P28)</f>
        <v>35.357142857142861</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5.5</v>
      </c>
      <c r="N31" s="585">
        <f ca="1">SUMIF($Z$28:AD28,"tertiair",N28:N28)</f>
        <v>12.375</v>
      </c>
      <c r="O31" s="585">
        <f ca="1">SUMIF($Z$28:AE28,"tertiair",O28:O28)</f>
        <v>17.678571428571431</v>
      </c>
      <c r="P31" s="585">
        <f ca="1">SUMIF($Z$28:AF28,"tertiair",P28:P28)</f>
        <v>35.357142857142861</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14.558823529411766</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20.798319327731097</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63398.653876395583</v>
      </c>
      <c r="C4" s="452">
        <f>huishoudens!C8</f>
        <v>0</v>
      </c>
      <c r="D4" s="452">
        <f>huishoudens!D8</f>
        <v>115439.47984381043</v>
      </c>
      <c r="E4" s="452">
        <f>huishoudens!E8</f>
        <v>22333.327825469602</v>
      </c>
      <c r="F4" s="452">
        <f>huishoudens!F8</f>
        <v>60169.411348942216</v>
      </c>
      <c r="G4" s="452">
        <f>huishoudens!G8</f>
        <v>0</v>
      </c>
      <c r="H4" s="452">
        <f>huishoudens!H8</f>
        <v>0</v>
      </c>
      <c r="I4" s="452">
        <f>huishoudens!I8</f>
        <v>0</v>
      </c>
      <c r="J4" s="452">
        <f>huishoudens!J8</f>
        <v>0</v>
      </c>
      <c r="K4" s="452">
        <f>huishoudens!K8</f>
        <v>0</v>
      </c>
      <c r="L4" s="452">
        <f>huishoudens!L8</f>
        <v>0</v>
      </c>
      <c r="M4" s="452">
        <f>huishoudens!M8</f>
        <v>0</v>
      </c>
      <c r="N4" s="452">
        <f>huishoudens!N8</f>
        <v>31780.692686824299</v>
      </c>
      <c r="O4" s="452">
        <f>huishoudens!O8</f>
        <v>664.41666666666663</v>
      </c>
      <c r="P4" s="453">
        <f>huishoudens!P8</f>
        <v>1982.9333333333334</v>
      </c>
      <c r="Q4" s="454">
        <f>SUM(B4:P4)</f>
        <v>295768.91558144218</v>
      </c>
    </row>
    <row r="5" spans="1:17">
      <c r="A5" s="451" t="s">
        <v>155</v>
      </c>
      <c r="B5" s="452">
        <f ca="1">tertiair!B16</f>
        <v>82405.875</v>
      </c>
      <c r="C5" s="452">
        <f ca="1">tertiair!C16</f>
        <v>17.678571428571431</v>
      </c>
      <c r="D5" s="452">
        <f ca="1">tertiair!D16</f>
        <v>93033.176229362216</v>
      </c>
      <c r="E5" s="452">
        <f>tertiair!E16</f>
        <v>750.99320212717214</v>
      </c>
      <c r="F5" s="452">
        <f ca="1">tertiair!F16</f>
        <v>12048.657339771882</v>
      </c>
      <c r="G5" s="452">
        <f>tertiair!G16</f>
        <v>0</v>
      </c>
      <c r="H5" s="452">
        <f>tertiair!H16</f>
        <v>0</v>
      </c>
      <c r="I5" s="452">
        <f>tertiair!I16</f>
        <v>0</v>
      </c>
      <c r="J5" s="452">
        <f>tertiair!J16</f>
        <v>0</v>
      </c>
      <c r="K5" s="452">
        <f>tertiair!K16</f>
        <v>0</v>
      </c>
      <c r="L5" s="452">
        <f ca="1">tertiair!L16</f>
        <v>0</v>
      </c>
      <c r="M5" s="452">
        <f>tertiair!M16</f>
        <v>0</v>
      </c>
      <c r="N5" s="452">
        <f ca="1">tertiair!N16</f>
        <v>6442.8342326822485</v>
      </c>
      <c r="O5" s="452">
        <f>tertiair!O16</f>
        <v>6.2533333333333339</v>
      </c>
      <c r="P5" s="453">
        <f>tertiair!P16</f>
        <v>0</v>
      </c>
      <c r="Q5" s="451">
        <f t="shared" ref="Q5:Q14" ca="1" si="0">SUM(B5:P5)</f>
        <v>194705.46790870541</v>
      </c>
    </row>
    <row r="6" spans="1:17">
      <c r="A6" s="451" t="s">
        <v>193</v>
      </c>
      <c r="B6" s="452">
        <f>'openbare verlichting'!B8</f>
        <v>1412.634</v>
      </c>
      <c r="C6" s="452"/>
      <c r="D6" s="452"/>
      <c r="E6" s="452"/>
      <c r="F6" s="452"/>
      <c r="G6" s="452"/>
      <c r="H6" s="452"/>
      <c r="I6" s="452"/>
      <c r="J6" s="452"/>
      <c r="K6" s="452"/>
      <c r="L6" s="452"/>
      <c r="M6" s="452"/>
      <c r="N6" s="452"/>
      <c r="O6" s="452"/>
      <c r="P6" s="453"/>
      <c r="Q6" s="451">
        <f t="shared" si="0"/>
        <v>1412.634</v>
      </c>
    </row>
    <row r="7" spans="1:17">
      <c r="A7" s="451" t="s">
        <v>111</v>
      </c>
      <c r="B7" s="452">
        <f>landbouw!B8</f>
        <v>1282.798</v>
      </c>
      <c r="C7" s="452">
        <f>landbouw!C8</f>
        <v>0</v>
      </c>
      <c r="D7" s="452">
        <f>landbouw!D8</f>
        <v>124.7660445403702</v>
      </c>
      <c r="E7" s="452">
        <f>landbouw!E8</f>
        <v>11.881812361190685</v>
      </c>
      <c r="F7" s="452">
        <f>landbouw!F8</f>
        <v>3254.7028987682193</v>
      </c>
      <c r="G7" s="452">
        <f>landbouw!G8</f>
        <v>0</v>
      </c>
      <c r="H7" s="452">
        <f>landbouw!H8</f>
        <v>0</v>
      </c>
      <c r="I7" s="452">
        <f>landbouw!I8</f>
        <v>0</v>
      </c>
      <c r="J7" s="452">
        <f>landbouw!J8</f>
        <v>196.6672494674628</v>
      </c>
      <c r="K7" s="452">
        <f>landbouw!K8</f>
        <v>0</v>
      </c>
      <c r="L7" s="452">
        <f>landbouw!L8</f>
        <v>0</v>
      </c>
      <c r="M7" s="452">
        <f>landbouw!M8</f>
        <v>0</v>
      </c>
      <c r="N7" s="452">
        <f>landbouw!N8</f>
        <v>0</v>
      </c>
      <c r="O7" s="452">
        <f>landbouw!O8</f>
        <v>0</v>
      </c>
      <c r="P7" s="453">
        <f>landbouw!P8</f>
        <v>0</v>
      </c>
      <c r="Q7" s="451">
        <f t="shared" si="0"/>
        <v>4870.8160051372433</v>
      </c>
    </row>
    <row r="8" spans="1:17">
      <c r="A8" s="451" t="s">
        <v>649</v>
      </c>
      <c r="B8" s="452">
        <f>industrie!B18</f>
        <v>61351.040301000001</v>
      </c>
      <c r="C8" s="452">
        <f>industrie!C18</f>
        <v>0</v>
      </c>
      <c r="D8" s="452">
        <f>industrie!D18</f>
        <v>16209.738059419658</v>
      </c>
      <c r="E8" s="452">
        <f>industrie!E18</f>
        <v>4101.7693823234558</v>
      </c>
      <c r="F8" s="452">
        <f>industrie!F18</f>
        <v>18341.16304940667</v>
      </c>
      <c r="G8" s="452">
        <f>industrie!G18</f>
        <v>0</v>
      </c>
      <c r="H8" s="452">
        <f>industrie!H18</f>
        <v>0</v>
      </c>
      <c r="I8" s="452">
        <f>industrie!I18</f>
        <v>0</v>
      </c>
      <c r="J8" s="452">
        <f>industrie!J18</f>
        <v>244.73559298708264</v>
      </c>
      <c r="K8" s="452">
        <f>industrie!K18</f>
        <v>0</v>
      </c>
      <c r="L8" s="452">
        <f>industrie!L18</f>
        <v>0</v>
      </c>
      <c r="M8" s="452">
        <f>industrie!M18</f>
        <v>0</v>
      </c>
      <c r="N8" s="452">
        <f>industrie!N18</f>
        <v>3825.9861222842464</v>
      </c>
      <c r="O8" s="452">
        <f>industrie!O18</f>
        <v>0</v>
      </c>
      <c r="P8" s="453">
        <f>industrie!P18</f>
        <v>0</v>
      </c>
      <c r="Q8" s="451">
        <f t="shared" si="0"/>
        <v>104074.43250742112</v>
      </c>
    </row>
    <row r="9" spans="1:17" s="457" customFormat="1">
      <c r="A9" s="455" t="s">
        <v>570</v>
      </c>
      <c r="B9" s="456">
        <f>transport!B14</f>
        <v>28.521673470810057</v>
      </c>
      <c r="C9" s="456">
        <f>transport!C14</f>
        <v>0</v>
      </c>
      <c r="D9" s="456">
        <f>transport!D14</f>
        <v>56.706554750574654</v>
      </c>
      <c r="E9" s="456">
        <f>transport!E14</f>
        <v>560.86197613482443</v>
      </c>
      <c r="F9" s="456">
        <f>transport!F14</f>
        <v>0</v>
      </c>
      <c r="G9" s="456">
        <f>transport!G14</f>
        <v>209098.91328303854</v>
      </c>
      <c r="H9" s="456">
        <f>transport!H14</f>
        <v>34619.347141860431</v>
      </c>
      <c r="I9" s="456">
        <f>transport!I14</f>
        <v>0</v>
      </c>
      <c r="J9" s="456">
        <f>transport!J14</f>
        <v>0</v>
      </c>
      <c r="K9" s="456">
        <f>transport!K14</f>
        <v>0</v>
      </c>
      <c r="L9" s="456">
        <f>transport!L14</f>
        <v>0</v>
      </c>
      <c r="M9" s="456">
        <f>transport!M14</f>
        <v>13178.948556754714</v>
      </c>
      <c r="N9" s="456">
        <f>transport!N14</f>
        <v>0</v>
      </c>
      <c r="O9" s="456">
        <f>transport!O14</f>
        <v>0</v>
      </c>
      <c r="P9" s="456">
        <f>transport!P14</f>
        <v>0</v>
      </c>
      <c r="Q9" s="455">
        <f>SUM(B9:P9)</f>
        <v>257543.29918600988</v>
      </c>
    </row>
    <row r="10" spans="1:17">
      <c r="A10" s="451" t="s">
        <v>560</v>
      </c>
      <c r="B10" s="452">
        <f>transport!B54</f>
        <v>0</v>
      </c>
      <c r="C10" s="452">
        <f>transport!C54</f>
        <v>0</v>
      </c>
      <c r="D10" s="452">
        <f>transport!D54</f>
        <v>0</v>
      </c>
      <c r="E10" s="452">
        <f>transport!E54</f>
        <v>0</v>
      </c>
      <c r="F10" s="452">
        <f>transport!F54</f>
        <v>0</v>
      </c>
      <c r="G10" s="452">
        <f>transport!G54</f>
        <v>2751.3558394885918</v>
      </c>
      <c r="H10" s="452">
        <f>transport!H54</f>
        <v>0</v>
      </c>
      <c r="I10" s="452">
        <f>transport!I54</f>
        <v>0</v>
      </c>
      <c r="J10" s="452">
        <f>transport!J54</f>
        <v>0</v>
      </c>
      <c r="K10" s="452">
        <f>transport!K54</f>
        <v>0</v>
      </c>
      <c r="L10" s="452">
        <f>transport!L54</f>
        <v>0</v>
      </c>
      <c r="M10" s="452">
        <f>transport!M54</f>
        <v>157.25912546169289</v>
      </c>
      <c r="N10" s="452">
        <f>transport!N54</f>
        <v>0</v>
      </c>
      <c r="O10" s="452">
        <f>transport!O54</f>
        <v>0</v>
      </c>
      <c r="P10" s="453">
        <f>transport!P54</f>
        <v>0</v>
      </c>
      <c r="Q10" s="451">
        <f t="shared" si="0"/>
        <v>2908.6149649502845</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3887.6990000000001</v>
      </c>
      <c r="C14" s="459"/>
      <c r="D14" s="459">
        <f>'SEAP template'!E25</f>
        <v>6309.22101247098</v>
      </c>
      <c r="E14" s="459"/>
      <c r="F14" s="459"/>
      <c r="G14" s="459"/>
      <c r="H14" s="459"/>
      <c r="I14" s="459"/>
      <c r="J14" s="459"/>
      <c r="K14" s="459"/>
      <c r="L14" s="459"/>
      <c r="M14" s="459"/>
      <c r="N14" s="459"/>
      <c r="O14" s="459"/>
      <c r="P14" s="460"/>
      <c r="Q14" s="451">
        <f t="shared" si="0"/>
        <v>10196.920012470981</v>
      </c>
    </row>
    <row r="15" spans="1:17" s="461" customFormat="1">
      <c r="A15" s="1017" t="s">
        <v>564</v>
      </c>
      <c r="B15" s="957">
        <f ca="1">SUM(B4:B14)</f>
        <v>213767.22185086639</v>
      </c>
      <c r="C15" s="957">
        <f t="shared" ref="C15:Q15" ca="1" si="1">SUM(C4:C14)</f>
        <v>17.678571428571431</v>
      </c>
      <c r="D15" s="957">
        <f t="shared" ca="1" si="1"/>
        <v>231173.08774435418</v>
      </c>
      <c r="E15" s="957">
        <f t="shared" si="1"/>
        <v>27758.83419841624</v>
      </c>
      <c r="F15" s="957">
        <f t="shared" ca="1" si="1"/>
        <v>93813.934636888967</v>
      </c>
      <c r="G15" s="957">
        <f t="shared" si="1"/>
        <v>211850.26912252713</v>
      </c>
      <c r="H15" s="957">
        <f t="shared" si="1"/>
        <v>34619.347141860431</v>
      </c>
      <c r="I15" s="957">
        <f t="shared" si="1"/>
        <v>0</v>
      </c>
      <c r="J15" s="957">
        <f t="shared" si="1"/>
        <v>441.40284245454541</v>
      </c>
      <c r="K15" s="957">
        <f t="shared" si="1"/>
        <v>0</v>
      </c>
      <c r="L15" s="957">
        <f t="shared" ca="1" si="1"/>
        <v>0</v>
      </c>
      <c r="M15" s="957">
        <f t="shared" si="1"/>
        <v>13336.207682216407</v>
      </c>
      <c r="N15" s="957">
        <f t="shared" ca="1" si="1"/>
        <v>42049.513041790793</v>
      </c>
      <c r="O15" s="957">
        <f t="shared" si="1"/>
        <v>670.67</v>
      </c>
      <c r="P15" s="957">
        <f t="shared" si="1"/>
        <v>1982.9333333333334</v>
      </c>
      <c r="Q15" s="957">
        <f t="shared" ca="1" si="1"/>
        <v>871481.10016613721</v>
      </c>
    </row>
    <row r="17" spans="1:17">
      <c r="A17" s="462" t="s">
        <v>565</v>
      </c>
      <c r="B17" s="761">
        <f ca="1">huishoudens!B10</f>
        <v>0.20802350115396043</v>
      </c>
      <c r="C17" s="761">
        <f ca="1">huishoudens!C10</f>
        <v>0.23764705882352943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13188.409947815915</v>
      </c>
      <c r="C22" s="452">
        <f t="shared" ref="C22:C32" ca="1" si="3">C4*$C$17</f>
        <v>0</v>
      </c>
      <c r="D22" s="452">
        <f t="shared" ref="D22:D32" si="4">D4*$D$17</f>
        <v>23318.774928449708</v>
      </c>
      <c r="E22" s="452">
        <f t="shared" ref="E22:E32" si="5">E4*$E$17</f>
        <v>5069.6654163816002</v>
      </c>
      <c r="F22" s="452">
        <f t="shared" ref="F22:F32" si="6">F4*$F$17</f>
        <v>16065.232830167573</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57642.083122814794</v>
      </c>
    </row>
    <row r="23" spans="1:17">
      <c r="A23" s="451" t="s">
        <v>155</v>
      </c>
      <c r="B23" s="452">
        <f t="shared" ca="1" si="2"/>
        <v>17142.358633155618</v>
      </c>
      <c r="C23" s="452">
        <f t="shared" ca="1" si="3"/>
        <v>4.2012605042016817</v>
      </c>
      <c r="D23" s="452">
        <f t="shared" ca="1" si="4"/>
        <v>18792.701598331168</v>
      </c>
      <c r="E23" s="452">
        <f t="shared" si="5"/>
        <v>170.47545688286809</v>
      </c>
      <c r="F23" s="452">
        <f t="shared" ca="1" si="6"/>
        <v>3216.9915097190928</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39326.728458592937</v>
      </c>
    </row>
    <row r="24" spans="1:17">
      <c r="A24" s="451" t="s">
        <v>193</v>
      </c>
      <c r="B24" s="452">
        <f t="shared" ca="1" si="2"/>
        <v>293.86107052912377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293.86107052912377</v>
      </c>
    </row>
    <row r="25" spans="1:17">
      <c r="A25" s="451" t="s">
        <v>111</v>
      </c>
      <c r="B25" s="452">
        <f t="shared" ca="1" si="2"/>
        <v>266.85213123329811</v>
      </c>
      <c r="C25" s="452">
        <f t="shared" ca="1" si="3"/>
        <v>0</v>
      </c>
      <c r="D25" s="452">
        <f t="shared" si="4"/>
        <v>25.202740997154784</v>
      </c>
      <c r="E25" s="452">
        <f t="shared" si="5"/>
        <v>2.6971714059902854</v>
      </c>
      <c r="F25" s="452">
        <f t="shared" si="6"/>
        <v>869.00567397111456</v>
      </c>
      <c r="G25" s="452">
        <f t="shared" si="7"/>
        <v>0</v>
      </c>
      <c r="H25" s="452">
        <f t="shared" si="8"/>
        <v>0</v>
      </c>
      <c r="I25" s="452">
        <f t="shared" si="9"/>
        <v>0</v>
      </c>
      <c r="J25" s="452">
        <f t="shared" si="10"/>
        <v>69.620206311481823</v>
      </c>
      <c r="K25" s="452">
        <f t="shared" si="11"/>
        <v>0</v>
      </c>
      <c r="L25" s="452">
        <f t="shared" si="12"/>
        <v>0</v>
      </c>
      <c r="M25" s="452">
        <f t="shared" si="13"/>
        <v>0</v>
      </c>
      <c r="N25" s="452">
        <f t="shared" si="14"/>
        <v>0</v>
      </c>
      <c r="O25" s="452">
        <f t="shared" si="15"/>
        <v>0</v>
      </c>
      <c r="P25" s="453">
        <f t="shared" si="16"/>
        <v>0</v>
      </c>
      <c r="Q25" s="451">
        <f t="shared" ca="1" si="17"/>
        <v>1233.3779239190394</v>
      </c>
    </row>
    <row r="26" spans="1:17">
      <c r="A26" s="451" t="s">
        <v>649</v>
      </c>
      <c r="B26" s="452">
        <f t="shared" ca="1" si="2"/>
        <v>12762.458202851747</v>
      </c>
      <c r="C26" s="452">
        <f t="shared" ca="1" si="3"/>
        <v>0</v>
      </c>
      <c r="D26" s="452">
        <f t="shared" si="4"/>
        <v>3274.3670880027712</v>
      </c>
      <c r="E26" s="452">
        <f t="shared" si="5"/>
        <v>931.10164978742455</v>
      </c>
      <c r="F26" s="452">
        <f t="shared" si="6"/>
        <v>4897.0905341915814</v>
      </c>
      <c r="G26" s="452">
        <f t="shared" si="7"/>
        <v>0</v>
      </c>
      <c r="H26" s="452">
        <f t="shared" si="8"/>
        <v>0</v>
      </c>
      <c r="I26" s="452">
        <f t="shared" si="9"/>
        <v>0</v>
      </c>
      <c r="J26" s="452">
        <f t="shared" si="10"/>
        <v>86.636399917427255</v>
      </c>
      <c r="K26" s="452">
        <f t="shared" si="11"/>
        <v>0</v>
      </c>
      <c r="L26" s="452">
        <f t="shared" si="12"/>
        <v>0</v>
      </c>
      <c r="M26" s="452">
        <f t="shared" si="13"/>
        <v>0</v>
      </c>
      <c r="N26" s="452">
        <f t="shared" si="14"/>
        <v>0</v>
      </c>
      <c r="O26" s="452">
        <f t="shared" si="15"/>
        <v>0</v>
      </c>
      <c r="P26" s="453">
        <f t="shared" si="16"/>
        <v>0</v>
      </c>
      <c r="Q26" s="451">
        <f t="shared" ca="1" si="17"/>
        <v>21951.653874750955</v>
      </c>
    </row>
    <row r="27" spans="1:17" s="457" customFormat="1">
      <c r="A27" s="455" t="s">
        <v>570</v>
      </c>
      <c r="B27" s="755">
        <f t="shared" ca="1" si="2"/>
        <v>5.9331783741679383</v>
      </c>
      <c r="C27" s="456">
        <f t="shared" ca="1" si="3"/>
        <v>0</v>
      </c>
      <c r="D27" s="456">
        <f t="shared" si="4"/>
        <v>11.454724059616082</v>
      </c>
      <c r="E27" s="456">
        <f t="shared" si="5"/>
        <v>127.31566858260516</v>
      </c>
      <c r="F27" s="456">
        <f t="shared" si="6"/>
        <v>0</v>
      </c>
      <c r="G27" s="456">
        <f t="shared" si="7"/>
        <v>55829.409846571289</v>
      </c>
      <c r="H27" s="456">
        <f t="shared" si="8"/>
        <v>8620.2174383232468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64594.330855910928</v>
      </c>
    </row>
    <row r="28" spans="1:17">
      <c r="A28" s="451" t="s">
        <v>560</v>
      </c>
      <c r="B28" s="452">
        <f t="shared" ca="1" si="2"/>
        <v>0</v>
      </c>
      <c r="C28" s="452">
        <f t="shared" ca="1" si="3"/>
        <v>0</v>
      </c>
      <c r="D28" s="452">
        <f t="shared" si="4"/>
        <v>0</v>
      </c>
      <c r="E28" s="452">
        <f t="shared" si="5"/>
        <v>0</v>
      </c>
      <c r="F28" s="452">
        <f t="shared" si="6"/>
        <v>0</v>
      </c>
      <c r="G28" s="452">
        <f t="shared" si="7"/>
        <v>734.61200914345409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734.61200914345409</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808.73275741275086</v>
      </c>
      <c r="C32" s="452">
        <f t="shared" ca="1" si="3"/>
        <v>0</v>
      </c>
      <c r="D32" s="452">
        <f t="shared" si="4"/>
        <v>1274.4626445191379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2083.1954019318887</v>
      </c>
    </row>
    <row r="33" spans="1:17" s="461" customFormat="1">
      <c r="A33" s="1017" t="s">
        <v>564</v>
      </c>
      <c r="B33" s="957">
        <f ca="1">SUM(B22:B32)</f>
        <v>44468.605921372618</v>
      </c>
      <c r="C33" s="957">
        <f t="shared" ref="C33:Q33" ca="1" si="18">SUM(C22:C32)</f>
        <v>4.2012605042016817</v>
      </c>
      <c r="D33" s="957">
        <f t="shared" ca="1" si="18"/>
        <v>46696.963724359557</v>
      </c>
      <c r="E33" s="957">
        <f t="shared" si="18"/>
        <v>6301.2553630404882</v>
      </c>
      <c r="F33" s="957">
        <f t="shared" ca="1" si="18"/>
        <v>25048.320548049363</v>
      </c>
      <c r="G33" s="957">
        <f t="shared" si="18"/>
        <v>56564.021855714745</v>
      </c>
      <c r="H33" s="957">
        <f t="shared" si="18"/>
        <v>8620.2174383232468</v>
      </c>
      <c r="I33" s="957">
        <f t="shared" si="18"/>
        <v>0</v>
      </c>
      <c r="J33" s="957">
        <f t="shared" si="18"/>
        <v>156.25660622890908</v>
      </c>
      <c r="K33" s="957">
        <f t="shared" si="18"/>
        <v>0</v>
      </c>
      <c r="L33" s="957">
        <f t="shared" ca="1" si="18"/>
        <v>0</v>
      </c>
      <c r="M33" s="957">
        <f t="shared" si="18"/>
        <v>0</v>
      </c>
      <c r="N33" s="957">
        <f t="shared" ca="1" si="18"/>
        <v>0</v>
      </c>
      <c r="O33" s="957">
        <f t="shared" si="18"/>
        <v>0</v>
      </c>
      <c r="P33" s="957">
        <f t="shared" si="18"/>
        <v>0</v>
      </c>
      <c r="Q33" s="957">
        <f t="shared" ca="1" si="18"/>
        <v>187859.8427175931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12552.742601908594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12.375</v>
      </c>
      <c r="D8" s="1034">
        <f>'SEAP template'!D76</f>
        <v>14.558823529411766</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2.9408823529411769</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12552.742601908594</v>
      </c>
      <c r="C10" s="1038">
        <f>SUM(C4:C9)</f>
        <v>12.375</v>
      </c>
      <c r="D10" s="1038">
        <f t="shared" ref="D10:H10" si="0">SUM(D8:D9)</f>
        <v>14.558823529411766</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2.9408823529411769</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0.20802350115396043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17.678571428571431</v>
      </c>
      <c r="D17" s="1035">
        <f>'SEAP template'!D87</f>
        <v>20.798319327731097</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4.2012605042016817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17.678571428571431</v>
      </c>
      <c r="D20" s="1038">
        <f t="shared" ref="D20:H20" si="2">SUM(D17:D19)</f>
        <v>20.798319327731097</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4.2012605042016817</v>
      </c>
    </row>
    <row r="22" spans="1:16">
      <c r="A22" s="462" t="s">
        <v>873</v>
      </c>
      <c r="B22" s="761" t="s">
        <v>867</v>
      </c>
      <c r="C22" s="76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0.20802350115396043</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2</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38.133333333333333</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2020-06-20T16:03:24Z</dcterms:modified>
</cp:coreProperties>
</file>